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uppi\Ragioneria\angela\Amministrazione Trasparente\Indice di tempestività dei pagamenti\dati sui pag 2017- 2018 PUBBLICATI SUL SITO\2018\"/>
    </mc:Choice>
  </mc:AlternateContent>
  <xr:revisionPtr revIDLastSave="0" documentId="8_{024F8846-49AC-4E92-A22A-51ADF1C911E7}" xr6:coauthVersionLast="36" xr6:coauthVersionMax="36" xr10:uidLastSave="{00000000-0000-0000-0000-000000000000}"/>
  <bookViews>
    <workbookView xWindow="0" yWindow="0" windowWidth="28800" windowHeight="12225" xr2:uid="{74C65950-117C-49EA-B36E-18A5DE44BD7A}"/>
  </bookViews>
  <sheets>
    <sheet name="tabella" sheetId="1" r:id="rId1"/>
  </sheets>
  <definedNames>
    <definedName name="_xlnm._FilterDatabase" localSheetId="0" hidden="1">tabella!$A$9:$G$2514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14" i="1" l="1"/>
  <c r="E2514" i="1"/>
  <c r="D2514" i="1"/>
  <c r="F2513" i="1"/>
  <c r="E2513" i="1"/>
  <c r="D2513" i="1"/>
  <c r="F2512" i="1"/>
  <c r="E2512" i="1"/>
  <c r="D2512" i="1"/>
  <c r="F2511" i="1"/>
  <c r="E2511" i="1"/>
  <c r="D2511" i="1"/>
  <c r="F2510" i="1"/>
  <c r="E2510" i="1"/>
  <c r="D2510" i="1"/>
  <c r="F2509" i="1"/>
  <c r="E2509" i="1"/>
  <c r="D2509" i="1"/>
  <c r="F2508" i="1"/>
  <c r="E2508" i="1"/>
  <c r="D2508" i="1"/>
  <c r="F2507" i="1"/>
  <c r="E2507" i="1"/>
  <c r="D2507" i="1"/>
  <c r="F2506" i="1"/>
  <c r="E2506" i="1"/>
  <c r="D2506" i="1"/>
  <c r="F2505" i="1"/>
  <c r="E2505" i="1"/>
  <c r="D2505" i="1"/>
  <c r="F2504" i="1"/>
  <c r="E2504" i="1"/>
  <c r="D2504" i="1"/>
  <c r="E2503" i="1"/>
  <c r="D2503" i="1"/>
  <c r="F2502" i="1"/>
  <c r="E2502" i="1"/>
  <c r="D2502" i="1"/>
  <c r="F2501" i="1"/>
  <c r="E2501" i="1"/>
  <c r="D2501" i="1"/>
  <c r="F2500" i="1"/>
  <c r="E2500" i="1"/>
  <c r="D2500" i="1"/>
  <c r="F2499" i="1"/>
  <c r="E2499" i="1"/>
  <c r="D2499" i="1"/>
  <c r="F2498" i="1"/>
  <c r="E2498" i="1"/>
  <c r="D2498" i="1"/>
  <c r="F2497" i="1"/>
  <c r="E2497" i="1"/>
  <c r="D2497" i="1"/>
  <c r="F2496" i="1"/>
  <c r="E2496" i="1"/>
  <c r="D2496" i="1"/>
  <c r="F2495" i="1"/>
  <c r="E2495" i="1"/>
  <c r="D2495" i="1"/>
  <c r="F2494" i="1"/>
  <c r="E2494" i="1"/>
  <c r="D2494" i="1"/>
  <c r="F2493" i="1"/>
  <c r="E2493" i="1"/>
  <c r="D2493" i="1"/>
  <c r="F2492" i="1"/>
  <c r="E2492" i="1"/>
  <c r="D2492" i="1"/>
  <c r="F2491" i="1"/>
  <c r="E2491" i="1"/>
  <c r="D2491" i="1"/>
  <c r="F2490" i="1"/>
  <c r="E2490" i="1"/>
  <c r="D2490" i="1"/>
  <c r="F2489" i="1"/>
  <c r="E2489" i="1"/>
  <c r="D2489" i="1"/>
  <c r="F2488" i="1"/>
  <c r="E2488" i="1"/>
  <c r="D2488" i="1"/>
  <c r="F2487" i="1"/>
  <c r="E2487" i="1"/>
  <c r="D2487" i="1"/>
  <c r="F2486" i="1"/>
  <c r="E2486" i="1"/>
  <c r="D2486" i="1"/>
  <c r="F2485" i="1"/>
  <c r="E2485" i="1"/>
  <c r="D2485" i="1"/>
  <c r="F2484" i="1"/>
  <c r="E2484" i="1"/>
  <c r="D2484" i="1"/>
  <c r="F2483" i="1"/>
  <c r="E2483" i="1"/>
  <c r="D2483" i="1"/>
  <c r="F2482" i="1"/>
  <c r="E2482" i="1"/>
  <c r="D2482" i="1"/>
  <c r="F2481" i="1"/>
  <c r="E2481" i="1"/>
  <c r="D2481" i="1"/>
  <c r="E2480" i="1"/>
  <c r="D2480" i="1"/>
  <c r="E2479" i="1"/>
  <c r="D2479" i="1"/>
  <c r="E2478" i="1"/>
  <c r="D2478" i="1"/>
  <c r="F2477" i="1"/>
  <c r="E2477" i="1"/>
  <c r="D2477" i="1"/>
  <c r="F2476" i="1"/>
  <c r="E2476" i="1"/>
  <c r="D2476" i="1"/>
  <c r="F2475" i="1"/>
  <c r="E2475" i="1"/>
  <c r="D2475" i="1"/>
  <c r="F2474" i="1"/>
  <c r="E2474" i="1"/>
  <c r="D2474" i="1"/>
  <c r="F2473" i="1"/>
  <c r="E2473" i="1"/>
  <c r="D2473" i="1"/>
  <c r="F2472" i="1"/>
  <c r="E2472" i="1"/>
  <c r="D2472" i="1"/>
  <c r="F2471" i="1"/>
  <c r="E2471" i="1"/>
  <c r="D2471" i="1"/>
  <c r="F2470" i="1"/>
  <c r="E2470" i="1"/>
  <c r="D2470" i="1"/>
  <c r="F2469" i="1"/>
  <c r="E2469" i="1"/>
  <c r="D2469" i="1"/>
  <c r="E2468" i="1"/>
  <c r="D2468" i="1"/>
  <c r="F2467" i="1"/>
  <c r="E2467" i="1"/>
  <c r="D2467" i="1"/>
  <c r="F2466" i="1"/>
  <c r="E2466" i="1"/>
  <c r="D2466" i="1"/>
  <c r="F2465" i="1"/>
  <c r="E2465" i="1"/>
  <c r="D2465" i="1"/>
  <c r="F2464" i="1"/>
  <c r="E2464" i="1"/>
  <c r="D2464" i="1"/>
  <c r="F2463" i="1"/>
  <c r="E2463" i="1"/>
  <c r="D2463" i="1"/>
  <c r="F2462" i="1"/>
  <c r="E2462" i="1"/>
  <c r="D2462" i="1"/>
  <c r="F2461" i="1"/>
  <c r="E2461" i="1"/>
  <c r="D2461" i="1"/>
  <c r="F2460" i="1"/>
  <c r="E2460" i="1"/>
  <c r="D2460" i="1"/>
  <c r="F2459" i="1"/>
  <c r="E2459" i="1"/>
  <c r="D2459" i="1"/>
  <c r="F2458" i="1"/>
  <c r="E2458" i="1"/>
  <c r="D2458" i="1"/>
  <c r="F2457" i="1"/>
  <c r="E2457" i="1"/>
  <c r="D2457" i="1"/>
  <c r="F2456" i="1"/>
  <c r="E2456" i="1"/>
  <c r="D2456" i="1"/>
  <c r="F2455" i="1"/>
  <c r="E2455" i="1"/>
  <c r="D2455" i="1"/>
  <c r="F2454" i="1"/>
  <c r="E2454" i="1"/>
  <c r="D2454" i="1"/>
  <c r="F2453" i="1"/>
  <c r="E2453" i="1"/>
  <c r="D2453" i="1"/>
  <c r="F2452" i="1"/>
  <c r="E2452" i="1"/>
  <c r="D2452" i="1"/>
  <c r="F2451" i="1"/>
  <c r="E2451" i="1"/>
  <c r="D2451" i="1"/>
  <c r="E2450" i="1"/>
  <c r="D2450" i="1"/>
  <c r="E2449" i="1"/>
  <c r="D2449" i="1"/>
  <c r="E2448" i="1"/>
  <c r="D2448" i="1"/>
  <c r="E2447" i="1"/>
  <c r="D2447" i="1"/>
  <c r="E2446" i="1"/>
  <c r="D2446" i="1"/>
  <c r="E2445" i="1"/>
  <c r="D2445" i="1"/>
  <c r="E2444" i="1"/>
  <c r="D2444" i="1"/>
  <c r="E2443" i="1"/>
  <c r="D2443" i="1"/>
  <c r="E2442" i="1"/>
  <c r="D2442" i="1"/>
  <c r="E2441" i="1"/>
  <c r="D2441" i="1"/>
  <c r="E2440" i="1"/>
  <c r="D2440" i="1"/>
  <c r="E2439" i="1"/>
  <c r="D2439" i="1"/>
  <c r="E2438" i="1"/>
  <c r="D2438" i="1"/>
  <c r="E2437" i="1"/>
  <c r="D2437" i="1"/>
  <c r="E2436" i="1"/>
  <c r="D2436" i="1"/>
  <c r="E2435" i="1"/>
  <c r="D2435" i="1"/>
  <c r="E2434" i="1"/>
  <c r="D2434" i="1"/>
  <c r="E2433" i="1"/>
  <c r="D2433" i="1"/>
  <c r="E2432" i="1"/>
  <c r="D2432" i="1"/>
  <c r="E2431" i="1"/>
  <c r="D2431" i="1"/>
  <c r="E2430" i="1"/>
  <c r="D2430" i="1"/>
  <c r="E2429" i="1"/>
  <c r="D2429" i="1"/>
  <c r="E2428" i="1"/>
  <c r="D2428" i="1"/>
  <c r="E2427" i="1"/>
  <c r="D2427" i="1"/>
  <c r="E2426" i="1"/>
  <c r="D2426" i="1"/>
  <c r="E2425" i="1"/>
  <c r="D2425" i="1"/>
  <c r="E2424" i="1"/>
  <c r="D2424" i="1"/>
  <c r="E2423" i="1"/>
  <c r="D2423" i="1"/>
  <c r="E2422" i="1"/>
  <c r="D2422" i="1"/>
  <c r="E2421" i="1"/>
  <c r="D2421" i="1"/>
  <c r="E2420" i="1"/>
  <c r="D2420" i="1"/>
  <c r="E2419" i="1"/>
  <c r="D2419" i="1"/>
  <c r="E2418" i="1"/>
  <c r="D2418" i="1"/>
  <c r="E2417" i="1"/>
  <c r="D2417" i="1"/>
  <c r="E2416" i="1"/>
  <c r="D2416" i="1"/>
  <c r="E2415" i="1"/>
  <c r="D2415" i="1"/>
  <c r="E2414" i="1"/>
  <c r="D2414" i="1"/>
  <c r="E2413" i="1"/>
  <c r="D2413" i="1"/>
  <c r="E2412" i="1"/>
  <c r="D2412" i="1"/>
  <c r="E2411" i="1"/>
  <c r="D2411" i="1"/>
  <c r="E2410" i="1"/>
  <c r="D2410" i="1"/>
  <c r="E2409" i="1"/>
  <c r="D2409" i="1"/>
  <c r="E2408" i="1"/>
  <c r="D2408" i="1"/>
  <c r="E2407" i="1"/>
  <c r="D2407" i="1"/>
  <c r="E2406" i="1"/>
  <c r="D2406" i="1"/>
  <c r="E2405" i="1"/>
  <c r="D2405" i="1"/>
  <c r="E2404" i="1"/>
  <c r="D2404" i="1"/>
  <c r="E2403" i="1"/>
  <c r="D2403" i="1"/>
  <c r="E2402" i="1"/>
  <c r="D2402" i="1"/>
  <c r="E2401" i="1"/>
  <c r="D2401" i="1"/>
  <c r="E2400" i="1"/>
  <c r="D2400" i="1"/>
  <c r="E2399" i="1"/>
  <c r="D2399" i="1"/>
  <c r="E2398" i="1"/>
  <c r="D2398" i="1"/>
  <c r="E2397" i="1"/>
  <c r="D2397" i="1"/>
  <c r="E2396" i="1"/>
  <c r="D2396" i="1"/>
  <c r="E2395" i="1"/>
  <c r="D2395" i="1"/>
  <c r="E2394" i="1"/>
  <c r="D2394" i="1"/>
  <c r="E2393" i="1"/>
  <c r="D2393" i="1"/>
  <c r="E2392" i="1"/>
  <c r="D2392" i="1"/>
  <c r="E2391" i="1"/>
  <c r="D2391" i="1"/>
  <c r="E2390" i="1"/>
  <c r="D2390" i="1"/>
  <c r="E2389" i="1"/>
  <c r="D2389" i="1"/>
  <c r="E2388" i="1"/>
  <c r="D2388" i="1"/>
  <c r="E2387" i="1"/>
  <c r="D2387" i="1"/>
  <c r="E2386" i="1"/>
  <c r="D2386" i="1"/>
  <c r="E2385" i="1"/>
  <c r="D2385" i="1"/>
  <c r="E2384" i="1"/>
  <c r="D2384" i="1"/>
  <c r="E2383" i="1"/>
  <c r="D2383" i="1"/>
  <c r="F2382" i="1"/>
  <c r="E2382" i="1"/>
  <c r="D2382" i="1"/>
  <c r="E2381" i="1"/>
  <c r="D2381" i="1"/>
  <c r="E2380" i="1"/>
  <c r="D2380" i="1"/>
  <c r="E2379" i="1"/>
  <c r="D2379" i="1"/>
  <c r="E2378" i="1"/>
  <c r="D2378" i="1"/>
  <c r="E2377" i="1"/>
  <c r="D2377" i="1"/>
  <c r="E2376" i="1"/>
  <c r="D2376" i="1"/>
  <c r="E2375" i="1"/>
  <c r="D2375" i="1"/>
  <c r="E2374" i="1"/>
  <c r="D2374" i="1"/>
  <c r="E2373" i="1"/>
  <c r="D2373" i="1"/>
  <c r="E2372" i="1"/>
  <c r="D2372" i="1"/>
  <c r="E2371" i="1"/>
  <c r="D2371" i="1"/>
  <c r="E2370" i="1"/>
  <c r="D2370" i="1"/>
  <c r="E2369" i="1"/>
  <c r="D2369" i="1"/>
  <c r="E2368" i="1"/>
  <c r="D2368" i="1"/>
  <c r="E2367" i="1"/>
  <c r="D2367" i="1"/>
  <c r="E2366" i="1"/>
  <c r="D2366" i="1"/>
  <c r="E2365" i="1"/>
  <c r="D2365" i="1"/>
  <c r="E2364" i="1"/>
  <c r="D2364" i="1"/>
  <c r="F2363" i="1"/>
  <c r="E2363" i="1"/>
  <c r="D2363" i="1"/>
  <c r="E2362" i="1"/>
  <c r="D2362" i="1"/>
  <c r="E2361" i="1"/>
  <c r="D2361" i="1"/>
  <c r="E2360" i="1"/>
  <c r="D2360" i="1"/>
  <c r="E2359" i="1"/>
  <c r="D2359" i="1"/>
  <c r="E2358" i="1"/>
  <c r="D2358" i="1"/>
  <c r="E2357" i="1"/>
  <c r="D2357" i="1"/>
  <c r="E2356" i="1"/>
  <c r="D2356" i="1"/>
  <c r="E2355" i="1"/>
  <c r="D2355" i="1"/>
  <c r="E2354" i="1"/>
  <c r="D2354" i="1"/>
  <c r="E2353" i="1"/>
  <c r="D2353" i="1"/>
  <c r="E2352" i="1"/>
  <c r="D2352" i="1"/>
  <c r="E2351" i="1"/>
  <c r="D2351" i="1"/>
  <c r="E2350" i="1"/>
  <c r="D2350" i="1"/>
  <c r="E2349" i="1"/>
  <c r="D2349" i="1"/>
  <c r="E2348" i="1"/>
  <c r="D2348" i="1"/>
  <c r="E2347" i="1"/>
  <c r="D2347" i="1"/>
  <c r="E2346" i="1"/>
  <c r="D2346" i="1"/>
  <c r="E2345" i="1"/>
  <c r="D2345" i="1"/>
  <c r="E2344" i="1"/>
  <c r="D2344" i="1"/>
  <c r="E2343" i="1"/>
  <c r="D2343" i="1"/>
  <c r="E2342" i="1"/>
  <c r="D2342" i="1"/>
  <c r="E2341" i="1"/>
  <c r="D2341" i="1"/>
  <c r="E2340" i="1"/>
  <c r="D2340" i="1"/>
  <c r="E2339" i="1"/>
  <c r="D2339" i="1"/>
  <c r="E2338" i="1"/>
  <c r="D2338" i="1"/>
  <c r="E2337" i="1"/>
  <c r="D2337" i="1"/>
  <c r="E2336" i="1"/>
  <c r="D2336" i="1"/>
  <c r="E2335" i="1"/>
  <c r="D2335" i="1"/>
  <c r="E2334" i="1"/>
  <c r="D2334" i="1"/>
  <c r="E2333" i="1"/>
  <c r="D2333" i="1"/>
  <c r="E2332" i="1"/>
  <c r="D2332" i="1"/>
  <c r="E2331" i="1"/>
  <c r="D2331" i="1"/>
  <c r="E2330" i="1"/>
  <c r="D2330" i="1"/>
  <c r="E2329" i="1"/>
  <c r="D2329" i="1"/>
  <c r="E2328" i="1"/>
  <c r="D2328" i="1"/>
  <c r="E2327" i="1"/>
  <c r="D2327" i="1"/>
  <c r="E2326" i="1"/>
  <c r="D2326" i="1"/>
  <c r="F2325" i="1"/>
  <c r="E2325" i="1"/>
  <c r="D2325" i="1"/>
  <c r="E2324" i="1"/>
  <c r="D2324" i="1"/>
  <c r="E2323" i="1"/>
  <c r="D2323" i="1"/>
  <c r="E2322" i="1"/>
  <c r="D2322" i="1"/>
  <c r="E2321" i="1"/>
  <c r="D2321" i="1"/>
  <c r="E2320" i="1"/>
  <c r="D2320" i="1"/>
  <c r="E2319" i="1"/>
  <c r="D2319" i="1"/>
  <c r="E2318" i="1"/>
  <c r="D2318" i="1"/>
  <c r="E2317" i="1"/>
  <c r="D2317" i="1"/>
  <c r="E2316" i="1"/>
  <c r="D2316" i="1"/>
  <c r="E2315" i="1"/>
  <c r="D2315" i="1"/>
  <c r="E2314" i="1"/>
  <c r="D2314" i="1"/>
  <c r="E2313" i="1"/>
  <c r="D2313" i="1"/>
  <c r="E2312" i="1"/>
  <c r="D2312" i="1"/>
  <c r="E2311" i="1"/>
  <c r="D2311" i="1"/>
  <c r="E2310" i="1"/>
  <c r="D2310" i="1"/>
  <c r="E2309" i="1"/>
  <c r="D2309" i="1"/>
  <c r="E2308" i="1"/>
  <c r="D2308" i="1"/>
  <c r="E2307" i="1"/>
  <c r="D2307" i="1"/>
  <c r="E2306" i="1"/>
  <c r="D2306" i="1"/>
  <c r="E2305" i="1"/>
  <c r="D2305" i="1"/>
  <c r="E2304" i="1"/>
  <c r="D2304" i="1"/>
  <c r="E2303" i="1"/>
  <c r="D2303" i="1"/>
  <c r="E2302" i="1"/>
  <c r="D2302" i="1"/>
  <c r="E2301" i="1"/>
  <c r="D2301" i="1"/>
  <c r="E2300" i="1"/>
  <c r="D2300" i="1"/>
  <c r="E2299" i="1"/>
  <c r="D2299" i="1"/>
  <c r="E2298" i="1"/>
  <c r="D2298" i="1"/>
  <c r="E2297" i="1"/>
  <c r="D2297" i="1"/>
  <c r="E2296" i="1"/>
  <c r="D2296" i="1"/>
  <c r="E2295" i="1"/>
  <c r="D2295" i="1"/>
  <c r="E2294" i="1"/>
  <c r="D2294" i="1"/>
  <c r="E2293" i="1"/>
  <c r="D2293" i="1"/>
  <c r="E2292" i="1"/>
  <c r="D2292" i="1"/>
  <c r="E2291" i="1"/>
  <c r="D2291" i="1"/>
  <c r="E2290" i="1"/>
  <c r="D2290" i="1"/>
  <c r="E2289" i="1"/>
  <c r="D2289" i="1"/>
  <c r="E2288" i="1"/>
  <c r="D2288" i="1"/>
  <c r="E2287" i="1"/>
  <c r="D2287" i="1"/>
  <c r="E2286" i="1"/>
  <c r="D2286" i="1"/>
  <c r="E2285" i="1"/>
  <c r="D2285" i="1"/>
  <c r="E2284" i="1"/>
  <c r="D2284" i="1"/>
  <c r="E2283" i="1"/>
  <c r="D2283" i="1"/>
  <c r="E2282" i="1"/>
  <c r="D2282" i="1"/>
  <c r="E2281" i="1"/>
  <c r="D2281" i="1"/>
  <c r="E2280" i="1"/>
  <c r="D2280" i="1"/>
  <c r="E2279" i="1"/>
  <c r="D2279" i="1"/>
  <c r="E2278" i="1"/>
  <c r="D2278" i="1"/>
  <c r="E2277" i="1"/>
  <c r="D2277" i="1"/>
  <c r="E2276" i="1"/>
  <c r="D2276" i="1"/>
  <c r="E2275" i="1"/>
  <c r="D2275" i="1"/>
  <c r="E2274" i="1"/>
  <c r="D2274" i="1"/>
  <c r="E2273" i="1"/>
  <c r="D2273" i="1"/>
  <c r="E2272" i="1"/>
  <c r="D2272" i="1"/>
  <c r="E2271" i="1"/>
  <c r="D2271" i="1"/>
  <c r="E2270" i="1"/>
  <c r="D2270" i="1"/>
  <c r="E2269" i="1"/>
  <c r="D2269" i="1"/>
  <c r="E2268" i="1"/>
  <c r="D2268" i="1"/>
  <c r="E2267" i="1"/>
  <c r="D2267" i="1"/>
  <c r="E2266" i="1"/>
  <c r="D2266" i="1"/>
  <c r="E2265" i="1"/>
  <c r="D2265" i="1"/>
  <c r="E2264" i="1"/>
  <c r="D2264" i="1"/>
  <c r="E2263" i="1"/>
  <c r="D2263" i="1"/>
  <c r="E2262" i="1"/>
  <c r="D2262" i="1"/>
  <c r="E2261" i="1"/>
  <c r="D2261" i="1"/>
  <c r="E2260" i="1"/>
  <c r="D2260" i="1"/>
  <c r="E2259" i="1"/>
  <c r="D2259" i="1"/>
  <c r="E2258" i="1"/>
  <c r="D2258" i="1"/>
  <c r="E2257" i="1"/>
  <c r="D2257" i="1"/>
  <c r="E2256" i="1"/>
  <c r="D2256" i="1"/>
  <c r="E2255" i="1"/>
  <c r="D2255" i="1"/>
  <c r="E2254" i="1"/>
  <c r="D2254" i="1"/>
  <c r="E2253" i="1"/>
  <c r="D2253" i="1"/>
  <c r="E2252" i="1"/>
  <c r="D2252" i="1"/>
  <c r="E2251" i="1"/>
  <c r="D2251" i="1"/>
  <c r="E2250" i="1"/>
  <c r="D2250" i="1"/>
  <c r="E2249" i="1"/>
  <c r="D2249" i="1"/>
  <c r="E2248" i="1"/>
  <c r="D2248" i="1"/>
  <c r="E2247" i="1"/>
  <c r="D2247" i="1"/>
  <c r="E2246" i="1"/>
  <c r="D2246" i="1"/>
  <c r="E2245" i="1"/>
  <c r="D2245" i="1"/>
  <c r="E2244" i="1"/>
  <c r="D2244" i="1"/>
  <c r="E2243" i="1"/>
  <c r="D2243" i="1"/>
  <c r="E2242" i="1"/>
  <c r="D2242" i="1"/>
  <c r="E2241" i="1"/>
  <c r="D2241" i="1"/>
  <c r="E2240" i="1"/>
  <c r="D2240" i="1"/>
  <c r="E2239" i="1"/>
  <c r="D2239" i="1"/>
  <c r="E2238" i="1"/>
  <c r="D2238" i="1"/>
  <c r="E2237" i="1"/>
  <c r="D2237" i="1"/>
  <c r="E2236" i="1"/>
  <c r="D2236" i="1"/>
  <c r="E2235" i="1"/>
  <c r="D2235" i="1"/>
  <c r="E2234" i="1"/>
  <c r="D2234" i="1"/>
  <c r="E2233" i="1"/>
  <c r="D2233" i="1"/>
  <c r="E2232" i="1"/>
  <c r="D2232" i="1"/>
  <c r="E2231" i="1"/>
  <c r="D2231" i="1"/>
  <c r="E2230" i="1"/>
  <c r="D2230" i="1"/>
  <c r="E2229" i="1"/>
  <c r="D2229" i="1"/>
  <c r="E2228" i="1"/>
  <c r="D2228" i="1"/>
  <c r="E2227" i="1"/>
  <c r="D2227" i="1"/>
  <c r="E2226" i="1"/>
  <c r="D2226" i="1"/>
  <c r="E2225" i="1"/>
  <c r="D2225" i="1"/>
  <c r="E2224" i="1"/>
  <c r="D2224" i="1"/>
  <c r="E2223" i="1"/>
  <c r="D2223" i="1"/>
  <c r="E2222" i="1"/>
  <c r="D2222" i="1"/>
  <c r="E2221" i="1"/>
  <c r="D2221" i="1"/>
  <c r="E2220" i="1"/>
  <c r="D2220" i="1"/>
  <c r="E2219" i="1"/>
  <c r="D2219" i="1"/>
  <c r="E2218" i="1"/>
  <c r="D2218" i="1"/>
  <c r="E2217" i="1"/>
  <c r="D2217" i="1"/>
  <c r="E2216" i="1"/>
  <c r="D2216" i="1"/>
  <c r="E2215" i="1"/>
  <c r="D2215" i="1"/>
  <c r="E2214" i="1"/>
  <c r="D2214" i="1"/>
  <c r="E2213" i="1"/>
  <c r="D2213" i="1"/>
  <c r="E2212" i="1"/>
  <c r="D2212" i="1"/>
  <c r="E2211" i="1"/>
  <c r="D2211" i="1"/>
  <c r="E2210" i="1"/>
  <c r="D2210" i="1"/>
  <c r="E2209" i="1"/>
  <c r="D2209" i="1"/>
  <c r="E2208" i="1"/>
  <c r="D2208" i="1"/>
  <c r="E2207" i="1"/>
  <c r="D2207" i="1"/>
  <c r="E2206" i="1"/>
  <c r="D2206" i="1"/>
  <c r="E2205" i="1"/>
  <c r="D2205" i="1"/>
  <c r="E2204" i="1"/>
  <c r="D2204" i="1"/>
  <c r="E2203" i="1"/>
  <c r="D2203" i="1"/>
  <c r="E2202" i="1"/>
  <c r="D2202" i="1"/>
  <c r="E2201" i="1"/>
  <c r="D2201" i="1"/>
  <c r="E2200" i="1"/>
  <c r="D2200" i="1"/>
  <c r="E2199" i="1"/>
  <c r="D2199" i="1"/>
  <c r="E2198" i="1"/>
  <c r="D2198" i="1"/>
  <c r="E2197" i="1"/>
  <c r="D2197" i="1"/>
  <c r="E2196" i="1"/>
  <c r="D2196" i="1"/>
  <c r="E2195" i="1"/>
  <c r="D2195" i="1"/>
  <c r="F2194" i="1"/>
  <c r="E2194" i="1"/>
  <c r="D2194" i="1"/>
  <c r="F2193" i="1"/>
  <c r="E2193" i="1"/>
  <c r="D2193" i="1"/>
  <c r="F2192" i="1"/>
  <c r="E2192" i="1"/>
  <c r="D2192" i="1"/>
  <c r="F2191" i="1"/>
  <c r="E2191" i="1"/>
  <c r="D2191" i="1"/>
  <c r="F2190" i="1"/>
  <c r="E2190" i="1"/>
  <c r="D2190" i="1"/>
  <c r="F2189" i="1"/>
  <c r="E2189" i="1"/>
  <c r="D2189" i="1"/>
  <c r="F2188" i="1"/>
  <c r="E2188" i="1"/>
  <c r="D2188" i="1"/>
  <c r="F2187" i="1"/>
  <c r="E2187" i="1"/>
  <c r="D2187" i="1"/>
  <c r="F2186" i="1"/>
  <c r="E2186" i="1"/>
  <c r="D2186" i="1"/>
  <c r="F2185" i="1"/>
  <c r="E2185" i="1"/>
  <c r="D2185" i="1"/>
  <c r="E2184" i="1"/>
  <c r="D2184" i="1"/>
  <c r="E2183" i="1"/>
  <c r="D2183" i="1"/>
  <c r="E2182" i="1"/>
  <c r="D2182" i="1"/>
  <c r="E2181" i="1"/>
  <c r="D2181" i="1"/>
  <c r="E2180" i="1"/>
  <c r="D2180" i="1"/>
  <c r="E2179" i="1"/>
  <c r="D2179" i="1"/>
  <c r="E2178" i="1"/>
  <c r="D2178" i="1"/>
  <c r="E2177" i="1"/>
  <c r="D2177" i="1"/>
  <c r="E2176" i="1"/>
  <c r="D2176" i="1"/>
  <c r="E2175" i="1"/>
  <c r="D2175" i="1"/>
  <c r="E2174" i="1"/>
  <c r="D2174" i="1"/>
  <c r="E2173" i="1"/>
  <c r="D2173" i="1"/>
  <c r="E2172" i="1"/>
  <c r="D2172" i="1"/>
  <c r="E2171" i="1"/>
  <c r="D2171" i="1"/>
  <c r="E2170" i="1"/>
  <c r="D2170" i="1"/>
  <c r="E2169" i="1"/>
  <c r="D2169" i="1"/>
  <c r="E2168" i="1"/>
  <c r="D2168" i="1"/>
  <c r="E2167" i="1"/>
  <c r="D2167" i="1"/>
  <c r="E2166" i="1"/>
  <c r="D2166" i="1"/>
  <c r="E2165" i="1"/>
  <c r="D2165" i="1"/>
  <c r="E2164" i="1"/>
  <c r="D2164" i="1"/>
  <c r="E2163" i="1"/>
  <c r="D2163" i="1"/>
  <c r="E2162" i="1"/>
  <c r="D2162" i="1"/>
  <c r="F2161" i="1"/>
  <c r="E2161" i="1"/>
  <c r="D2161" i="1"/>
  <c r="F2160" i="1"/>
  <c r="E2160" i="1"/>
  <c r="D2160" i="1"/>
  <c r="E2159" i="1"/>
  <c r="D2159" i="1"/>
  <c r="E2158" i="1"/>
  <c r="D2158" i="1"/>
  <c r="E2157" i="1"/>
  <c r="D2157" i="1"/>
  <c r="E2156" i="1"/>
  <c r="D2156" i="1"/>
  <c r="E2155" i="1"/>
  <c r="D2155" i="1"/>
  <c r="E2154" i="1"/>
  <c r="D2154" i="1"/>
  <c r="E2153" i="1"/>
  <c r="D2153" i="1"/>
  <c r="E2152" i="1"/>
  <c r="D2152" i="1"/>
  <c r="E2151" i="1"/>
  <c r="D2151" i="1"/>
  <c r="E2150" i="1"/>
  <c r="D2150" i="1"/>
  <c r="E2149" i="1"/>
  <c r="D2149" i="1"/>
  <c r="E2148" i="1"/>
  <c r="D2148" i="1"/>
  <c r="E2147" i="1"/>
  <c r="D2147" i="1"/>
  <c r="E2146" i="1"/>
  <c r="D2146" i="1"/>
  <c r="E2145" i="1"/>
  <c r="D2145" i="1"/>
  <c r="E2144" i="1"/>
  <c r="D2144" i="1"/>
  <c r="E2143" i="1"/>
  <c r="D2143" i="1"/>
  <c r="E2142" i="1"/>
  <c r="D2142" i="1"/>
  <c r="E2141" i="1"/>
  <c r="D2141" i="1"/>
  <c r="E2140" i="1"/>
  <c r="D2140" i="1"/>
  <c r="E2139" i="1"/>
  <c r="D2139" i="1"/>
  <c r="E2138" i="1"/>
  <c r="D2138" i="1"/>
  <c r="E2137" i="1"/>
  <c r="D2137" i="1"/>
  <c r="F2136" i="1"/>
  <c r="E2136" i="1"/>
  <c r="D2136" i="1"/>
  <c r="E2135" i="1"/>
  <c r="D2135" i="1"/>
  <c r="E2134" i="1"/>
  <c r="D2134" i="1"/>
  <c r="E2133" i="1"/>
  <c r="D2133" i="1"/>
  <c r="E2132" i="1"/>
  <c r="D2132" i="1"/>
  <c r="E2131" i="1"/>
  <c r="D2131" i="1"/>
  <c r="E2130" i="1"/>
  <c r="D2130" i="1"/>
  <c r="E2129" i="1"/>
  <c r="D2129" i="1"/>
  <c r="E2128" i="1"/>
  <c r="D2128" i="1"/>
  <c r="E2127" i="1"/>
  <c r="D2127" i="1"/>
  <c r="E2126" i="1"/>
  <c r="D2126" i="1"/>
  <c r="E2125" i="1"/>
  <c r="D2125" i="1"/>
  <c r="E2124" i="1"/>
  <c r="D2124" i="1"/>
  <c r="E2123" i="1"/>
  <c r="D2123" i="1"/>
  <c r="E2122" i="1"/>
  <c r="D2122" i="1"/>
  <c r="E2121" i="1"/>
  <c r="D2121" i="1"/>
  <c r="E2120" i="1"/>
  <c r="D2120" i="1"/>
  <c r="E2119" i="1"/>
  <c r="D2119" i="1"/>
  <c r="E2118" i="1"/>
  <c r="D2118" i="1"/>
  <c r="E2117" i="1"/>
  <c r="D2117" i="1"/>
  <c r="E2116" i="1"/>
  <c r="D2116" i="1"/>
  <c r="E2115" i="1"/>
  <c r="D2115" i="1"/>
  <c r="E2114" i="1"/>
  <c r="D2114" i="1"/>
  <c r="E2113" i="1"/>
  <c r="D2113" i="1"/>
  <c r="E2112" i="1"/>
  <c r="D2112" i="1"/>
  <c r="E2111" i="1"/>
  <c r="D2111" i="1"/>
  <c r="E2110" i="1"/>
  <c r="D2110" i="1"/>
  <c r="E2109" i="1"/>
  <c r="D2109" i="1"/>
  <c r="E2108" i="1"/>
  <c r="D2108" i="1"/>
  <c r="E2107" i="1"/>
  <c r="D2107" i="1"/>
  <c r="E2106" i="1"/>
  <c r="D2106" i="1"/>
  <c r="E2105" i="1"/>
  <c r="D2105" i="1"/>
  <c r="E2104" i="1"/>
  <c r="D2104" i="1"/>
  <c r="E2103" i="1"/>
  <c r="D2103" i="1"/>
  <c r="E2102" i="1"/>
  <c r="D2102" i="1"/>
  <c r="E2101" i="1"/>
  <c r="D2101" i="1"/>
  <c r="E2100" i="1"/>
  <c r="D2100" i="1"/>
  <c r="E2099" i="1"/>
  <c r="D2099" i="1"/>
  <c r="E2098" i="1"/>
  <c r="D2098" i="1"/>
  <c r="E2097" i="1"/>
  <c r="D2097" i="1"/>
  <c r="E2096" i="1"/>
  <c r="D2096" i="1"/>
  <c r="E2095" i="1"/>
  <c r="D2095" i="1"/>
  <c r="E2094" i="1"/>
  <c r="D2094" i="1"/>
  <c r="E2093" i="1"/>
  <c r="D2093" i="1"/>
  <c r="E2092" i="1"/>
  <c r="D2092" i="1"/>
  <c r="E2091" i="1"/>
  <c r="D2091" i="1"/>
  <c r="E2090" i="1"/>
  <c r="D2090" i="1"/>
  <c r="E2089" i="1"/>
  <c r="D2089" i="1"/>
  <c r="E2088" i="1"/>
  <c r="D2088" i="1"/>
  <c r="E2087" i="1"/>
  <c r="D2087" i="1"/>
  <c r="E2086" i="1"/>
  <c r="D2086" i="1"/>
  <c r="E2085" i="1"/>
  <c r="D2085" i="1"/>
  <c r="E2084" i="1"/>
  <c r="D2084" i="1"/>
  <c r="E2083" i="1"/>
  <c r="D2083" i="1"/>
  <c r="E2082" i="1"/>
  <c r="D2082" i="1"/>
  <c r="E2081" i="1"/>
  <c r="D2081" i="1"/>
  <c r="E2080" i="1"/>
  <c r="D2080" i="1"/>
  <c r="E2079" i="1"/>
  <c r="D2079" i="1"/>
  <c r="E2078" i="1"/>
  <c r="D2078" i="1"/>
  <c r="E2077" i="1"/>
  <c r="D2077" i="1"/>
  <c r="E2076" i="1"/>
  <c r="D2076" i="1"/>
  <c r="F2075" i="1"/>
  <c r="E2075" i="1"/>
  <c r="D2075" i="1"/>
  <c r="E2074" i="1"/>
  <c r="D2074" i="1"/>
  <c r="E2073" i="1"/>
  <c r="D2073" i="1"/>
  <c r="E2072" i="1"/>
  <c r="D2072" i="1"/>
  <c r="E2071" i="1"/>
  <c r="D2071" i="1"/>
  <c r="E2070" i="1"/>
  <c r="D2070" i="1"/>
  <c r="E2069" i="1"/>
  <c r="D2069" i="1"/>
  <c r="E2068" i="1"/>
  <c r="D2068" i="1"/>
  <c r="E2067" i="1"/>
  <c r="D2067" i="1"/>
  <c r="E2066" i="1"/>
  <c r="D2066" i="1"/>
  <c r="E2065" i="1"/>
  <c r="D2065" i="1"/>
  <c r="E2064" i="1"/>
  <c r="D2064" i="1"/>
  <c r="E2063" i="1"/>
  <c r="D2063" i="1"/>
  <c r="E2062" i="1"/>
  <c r="D2062" i="1"/>
  <c r="E2061" i="1"/>
  <c r="D2061" i="1"/>
  <c r="E2060" i="1"/>
  <c r="D2060" i="1"/>
  <c r="E2059" i="1"/>
  <c r="D2059" i="1"/>
  <c r="E2058" i="1"/>
  <c r="D2058" i="1"/>
  <c r="E2057" i="1"/>
  <c r="D2057" i="1"/>
  <c r="E2056" i="1"/>
  <c r="D2056" i="1"/>
  <c r="E2055" i="1"/>
  <c r="D2055" i="1"/>
  <c r="E2054" i="1"/>
  <c r="D2054" i="1"/>
  <c r="E2053" i="1"/>
  <c r="D2053" i="1"/>
  <c r="E2052" i="1"/>
  <c r="D2052" i="1"/>
  <c r="E2051" i="1"/>
  <c r="D2051" i="1"/>
  <c r="E2050" i="1"/>
  <c r="D2050" i="1"/>
  <c r="E2049" i="1"/>
  <c r="D2049" i="1"/>
  <c r="E2048" i="1"/>
  <c r="D2048" i="1"/>
  <c r="E2047" i="1"/>
  <c r="D2047" i="1"/>
  <c r="E2046" i="1"/>
  <c r="D2046" i="1"/>
  <c r="E2045" i="1"/>
  <c r="D2045" i="1"/>
  <c r="E2044" i="1"/>
  <c r="D2044" i="1"/>
  <c r="E2043" i="1"/>
  <c r="D2043" i="1"/>
  <c r="E2042" i="1"/>
  <c r="D2042" i="1"/>
  <c r="E2041" i="1"/>
  <c r="D2041" i="1"/>
  <c r="E2040" i="1"/>
  <c r="D2040" i="1"/>
  <c r="E2039" i="1"/>
  <c r="D2039" i="1"/>
  <c r="E2038" i="1"/>
  <c r="D2038" i="1"/>
  <c r="F2037" i="1"/>
  <c r="E2037" i="1"/>
  <c r="D2037" i="1"/>
  <c r="E2036" i="1"/>
  <c r="D2036" i="1"/>
  <c r="E2035" i="1"/>
  <c r="D2035" i="1"/>
  <c r="E2034" i="1"/>
  <c r="D2034" i="1"/>
  <c r="F2033" i="1"/>
  <c r="E2033" i="1"/>
  <c r="D2033" i="1"/>
  <c r="E2032" i="1"/>
  <c r="D2032" i="1"/>
  <c r="E2031" i="1"/>
  <c r="D2031" i="1"/>
  <c r="E2030" i="1"/>
  <c r="D2030" i="1"/>
  <c r="E2029" i="1"/>
  <c r="D2029" i="1"/>
  <c r="E2028" i="1"/>
  <c r="D2028" i="1"/>
  <c r="E2027" i="1"/>
  <c r="D2027" i="1"/>
  <c r="E2026" i="1"/>
  <c r="D2026" i="1"/>
  <c r="E2025" i="1"/>
  <c r="D2025" i="1"/>
  <c r="E2024" i="1"/>
  <c r="D2024" i="1"/>
  <c r="E2023" i="1"/>
  <c r="D2023" i="1"/>
  <c r="E2022" i="1"/>
  <c r="D2022" i="1"/>
  <c r="E2021" i="1"/>
  <c r="D2021" i="1"/>
  <c r="E2020" i="1"/>
  <c r="D2020" i="1"/>
  <c r="E2019" i="1"/>
  <c r="D2019" i="1"/>
  <c r="E2018" i="1"/>
  <c r="D2018" i="1"/>
  <c r="E2017" i="1"/>
  <c r="D2017" i="1"/>
  <c r="E2016" i="1"/>
  <c r="D2016" i="1"/>
  <c r="E2015" i="1"/>
  <c r="D2015" i="1"/>
  <c r="E2014" i="1"/>
  <c r="D2014" i="1"/>
  <c r="E2013" i="1"/>
  <c r="D2013" i="1"/>
  <c r="F2012" i="1"/>
  <c r="E2012" i="1"/>
  <c r="D2012" i="1"/>
  <c r="F2011" i="1"/>
  <c r="E2011" i="1"/>
  <c r="D2011" i="1"/>
  <c r="F2010" i="1"/>
  <c r="E2010" i="1"/>
  <c r="D2010" i="1"/>
  <c r="F2009" i="1"/>
  <c r="E2009" i="1"/>
  <c r="D2009" i="1"/>
  <c r="F2008" i="1"/>
  <c r="E2008" i="1"/>
  <c r="D2008" i="1"/>
  <c r="E2007" i="1"/>
  <c r="D2007" i="1"/>
  <c r="E2006" i="1"/>
  <c r="D2006" i="1"/>
  <c r="E2005" i="1"/>
  <c r="D2005" i="1"/>
  <c r="E2004" i="1"/>
  <c r="D2004" i="1"/>
  <c r="E2003" i="1"/>
  <c r="D2003" i="1"/>
  <c r="E2002" i="1"/>
  <c r="D2002" i="1"/>
  <c r="E2001" i="1"/>
  <c r="D2001" i="1"/>
  <c r="E2000" i="1"/>
  <c r="D2000" i="1"/>
  <c r="E1999" i="1"/>
  <c r="D1999" i="1"/>
  <c r="E1998" i="1"/>
  <c r="D1998" i="1"/>
  <c r="E1997" i="1"/>
  <c r="D1997" i="1"/>
  <c r="E1996" i="1"/>
  <c r="D1996" i="1"/>
  <c r="E1995" i="1"/>
  <c r="D1995" i="1"/>
  <c r="E1994" i="1"/>
  <c r="D1994" i="1"/>
  <c r="E1993" i="1"/>
  <c r="D1993" i="1"/>
  <c r="E1992" i="1"/>
  <c r="D1992" i="1"/>
  <c r="E1991" i="1"/>
  <c r="D1991" i="1"/>
  <c r="E1990" i="1"/>
  <c r="D1990" i="1"/>
  <c r="E1989" i="1"/>
  <c r="D1989" i="1"/>
  <c r="E1988" i="1"/>
  <c r="D1988" i="1"/>
  <c r="F1987" i="1"/>
  <c r="E1987" i="1"/>
  <c r="D1987" i="1"/>
  <c r="F1986" i="1"/>
  <c r="E1986" i="1"/>
  <c r="D1986" i="1"/>
  <c r="F1985" i="1"/>
  <c r="E1985" i="1"/>
  <c r="D1985" i="1"/>
  <c r="F1984" i="1"/>
  <c r="E1984" i="1"/>
  <c r="D1984" i="1"/>
  <c r="F1983" i="1"/>
  <c r="E1983" i="1"/>
  <c r="D1983" i="1"/>
  <c r="F1982" i="1"/>
  <c r="E1982" i="1"/>
  <c r="D1982" i="1"/>
  <c r="E1981" i="1"/>
  <c r="D1981" i="1"/>
  <c r="F1980" i="1"/>
  <c r="E1980" i="1"/>
  <c r="D1980" i="1"/>
  <c r="E1979" i="1"/>
  <c r="D1979" i="1"/>
  <c r="E1978" i="1"/>
  <c r="D1978" i="1"/>
  <c r="E1977" i="1"/>
  <c r="D1977" i="1"/>
  <c r="E1976" i="1"/>
  <c r="D1976" i="1"/>
  <c r="E1975" i="1"/>
  <c r="D1975" i="1"/>
  <c r="E1974" i="1"/>
  <c r="D1974" i="1"/>
  <c r="E1973" i="1"/>
  <c r="D1973" i="1"/>
  <c r="E1972" i="1"/>
  <c r="D1972" i="1"/>
  <c r="E1971" i="1"/>
  <c r="D1971" i="1"/>
  <c r="E1970" i="1"/>
  <c r="D1970" i="1"/>
  <c r="E1969" i="1"/>
  <c r="D1969" i="1"/>
  <c r="E1968" i="1"/>
  <c r="D1968" i="1"/>
  <c r="E1967" i="1"/>
  <c r="D1967" i="1"/>
  <c r="E1966" i="1"/>
  <c r="D1966" i="1"/>
  <c r="E1965" i="1"/>
  <c r="D1965" i="1"/>
  <c r="E1964" i="1"/>
  <c r="D1964" i="1"/>
  <c r="E1963" i="1"/>
  <c r="D1963" i="1"/>
  <c r="E1962" i="1"/>
  <c r="D1962" i="1"/>
  <c r="E1961" i="1"/>
  <c r="D1961" i="1"/>
  <c r="E1960" i="1"/>
  <c r="D1960" i="1"/>
  <c r="E1959" i="1"/>
  <c r="D1959" i="1"/>
  <c r="E1958" i="1"/>
  <c r="D1958" i="1"/>
  <c r="E1957" i="1"/>
  <c r="D1957" i="1"/>
  <c r="E1956" i="1"/>
  <c r="D1956" i="1"/>
  <c r="E1955" i="1"/>
  <c r="D1955" i="1"/>
  <c r="E1954" i="1"/>
  <c r="D1954" i="1"/>
  <c r="E1953" i="1"/>
  <c r="D1953" i="1"/>
  <c r="E1952" i="1"/>
  <c r="D1952" i="1"/>
  <c r="E1951" i="1"/>
  <c r="D1951" i="1"/>
  <c r="E1950" i="1"/>
  <c r="D1950" i="1"/>
  <c r="E1949" i="1"/>
  <c r="D1949" i="1"/>
  <c r="E1948" i="1"/>
  <c r="D1948" i="1"/>
  <c r="E1947" i="1"/>
  <c r="D1947" i="1"/>
  <c r="E1946" i="1"/>
  <c r="D1946" i="1"/>
  <c r="E1945" i="1"/>
  <c r="D1945" i="1"/>
  <c r="E1944" i="1"/>
  <c r="D1944" i="1"/>
  <c r="E1943" i="1"/>
  <c r="D1943" i="1"/>
  <c r="E1942" i="1"/>
  <c r="D1942" i="1"/>
  <c r="E1941" i="1"/>
  <c r="D1941" i="1"/>
  <c r="E1940" i="1"/>
  <c r="D1940" i="1"/>
  <c r="E1939" i="1"/>
  <c r="D1939" i="1"/>
  <c r="E1938" i="1"/>
  <c r="D1938" i="1"/>
  <c r="E1937" i="1"/>
  <c r="D1937" i="1"/>
  <c r="E1936" i="1"/>
  <c r="D1936" i="1"/>
  <c r="E1935" i="1"/>
  <c r="D1935" i="1"/>
  <c r="E1934" i="1"/>
  <c r="D1934" i="1"/>
  <c r="E1933" i="1"/>
  <c r="D1933" i="1"/>
  <c r="E1932" i="1"/>
  <c r="D1932" i="1"/>
  <c r="E1931" i="1"/>
  <c r="D1931" i="1"/>
  <c r="E1930" i="1"/>
  <c r="D1930" i="1"/>
  <c r="E1929" i="1"/>
  <c r="D1929" i="1"/>
  <c r="E1928" i="1"/>
  <c r="D1928" i="1"/>
  <c r="E1927" i="1"/>
  <c r="D1927" i="1"/>
  <c r="E1926" i="1"/>
  <c r="D1926" i="1"/>
  <c r="E1925" i="1"/>
  <c r="D1925" i="1"/>
  <c r="E1924" i="1"/>
  <c r="D1924" i="1"/>
  <c r="E1923" i="1"/>
  <c r="D1923" i="1"/>
  <c r="E1922" i="1"/>
  <c r="D1922" i="1"/>
  <c r="E1921" i="1"/>
  <c r="D1921" i="1"/>
  <c r="E1920" i="1"/>
  <c r="D1920" i="1"/>
  <c r="E1919" i="1"/>
  <c r="D1919" i="1"/>
  <c r="E1918" i="1"/>
  <c r="D1918" i="1"/>
  <c r="E1917" i="1"/>
  <c r="D1917" i="1"/>
  <c r="E1916" i="1"/>
  <c r="D1916" i="1"/>
  <c r="E1915" i="1"/>
  <c r="D1915" i="1"/>
  <c r="E1914" i="1"/>
  <c r="D1914" i="1"/>
  <c r="E1913" i="1"/>
  <c r="D1913" i="1"/>
  <c r="E1912" i="1"/>
  <c r="D1912" i="1"/>
  <c r="E1911" i="1"/>
  <c r="D1911" i="1"/>
  <c r="E1910" i="1"/>
  <c r="D1910" i="1"/>
  <c r="E1909" i="1"/>
  <c r="D1909" i="1"/>
  <c r="E1908" i="1"/>
  <c r="D1908" i="1"/>
  <c r="E1907" i="1"/>
  <c r="D1907" i="1"/>
  <c r="E1906" i="1"/>
  <c r="D1906" i="1"/>
  <c r="E1905" i="1"/>
  <c r="D1905" i="1"/>
  <c r="E1904" i="1"/>
  <c r="D1904" i="1"/>
  <c r="E1903" i="1"/>
  <c r="D1903" i="1"/>
  <c r="E1902" i="1"/>
  <c r="D1902" i="1"/>
  <c r="E1901" i="1"/>
  <c r="D1901" i="1"/>
  <c r="E1900" i="1"/>
  <c r="D1900" i="1"/>
  <c r="E1899" i="1"/>
  <c r="D1899" i="1"/>
  <c r="E1898" i="1"/>
  <c r="D1898" i="1"/>
  <c r="E1897" i="1"/>
  <c r="D1897" i="1"/>
  <c r="E1896" i="1"/>
  <c r="D1896" i="1"/>
  <c r="E1895" i="1"/>
  <c r="D1895" i="1"/>
  <c r="E1894" i="1"/>
  <c r="D1894" i="1"/>
  <c r="E1893" i="1"/>
  <c r="D1893" i="1"/>
  <c r="E1892" i="1"/>
  <c r="D1892" i="1"/>
  <c r="E1891" i="1"/>
  <c r="D1891" i="1"/>
  <c r="E1890" i="1"/>
  <c r="D1890" i="1"/>
  <c r="E1889" i="1"/>
  <c r="D1889" i="1"/>
  <c r="E1888" i="1"/>
  <c r="D1888" i="1"/>
  <c r="E1887" i="1"/>
  <c r="D1887" i="1"/>
  <c r="E1886" i="1"/>
  <c r="D1886" i="1"/>
  <c r="E1885" i="1"/>
  <c r="D1885" i="1"/>
  <c r="E1884" i="1"/>
  <c r="D1884" i="1"/>
  <c r="E1883" i="1"/>
  <c r="D1883" i="1"/>
  <c r="E1882" i="1"/>
  <c r="D1882" i="1"/>
  <c r="E1881" i="1"/>
  <c r="D1881" i="1"/>
  <c r="E1880" i="1"/>
  <c r="D1880" i="1"/>
  <c r="E1879" i="1"/>
  <c r="D1879" i="1"/>
  <c r="E1878" i="1"/>
  <c r="D1878" i="1"/>
  <c r="E1877" i="1"/>
  <c r="D1877" i="1"/>
  <c r="E1876" i="1"/>
  <c r="D1876" i="1"/>
  <c r="E1875" i="1"/>
  <c r="D1875" i="1"/>
  <c r="E1874" i="1"/>
  <c r="D1874" i="1"/>
  <c r="E1873" i="1"/>
  <c r="D1873" i="1"/>
  <c r="E1872" i="1"/>
  <c r="D1872" i="1"/>
  <c r="E1871" i="1"/>
  <c r="D1871" i="1"/>
  <c r="E1870" i="1"/>
  <c r="D1870" i="1"/>
  <c r="E1869" i="1"/>
  <c r="D1869" i="1"/>
  <c r="E1868" i="1"/>
  <c r="D1868" i="1"/>
  <c r="E1867" i="1"/>
  <c r="D1867" i="1"/>
  <c r="E1866" i="1"/>
  <c r="D1866" i="1"/>
  <c r="E1865" i="1"/>
  <c r="D1865" i="1"/>
  <c r="E1864" i="1"/>
  <c r="D1864" i="1"/>
  <c r="E1863" i="1"/>
  <c r="D1863" i="1"/>
  <c r="E1862" i="1"/>
  <c r="D1862" i="1"/>
  <c r="E1861" i="1"/>
  <c r="D1861" i="1"/>
  <c r="E1860" i="1"/>
  <c r="D1860" i="1"/>
  <c r="E1859" i="1"/>
  <c r="D1859" i="1"/>
  <c r="E1858" i="1"/>
  <c r="D1858" i="1"/>
  <c r="E1857" i="1"/>
  <c r="D1857" i="1"/>
  <c r="E1856" i="1"/>
  <c r="D1856" i="1"/>
  <c r="E1855" i="1"/>
  <c r="D1855" i="1"/>
  <c r="E1854" i="1"/>
  <c r="D1854" i="1"/>
  <c r="E1853" i="1"/>
  <c r="D1853" i="1"/>
  <c r="E1852" i="1"/>
  <c r="D1852" i="1"/>
  <c r="E1851" i="1"/>
  <c r="D1851" i="1"/>
  <c r="E1850" i="1"/>
  <c r="D1850" i="1"/>
  <c r="E1849" i="1"/>
  <c r="D1849" i="1"/>
  <c r="E1848" i="1"/>
  <c r="D1848" i="1"/>
  <c r="E1847" i="1"/>
  <c r="D1847" i="1"/>
  <c r="E1846" i="1"/>
  <c r="D1846" i="1"/>
  <c r="E1845" i="1"/>
  <c r="D1845" i="1"/>
  <c r="E1844" i="1"/>
  <c r="D1844" i="1"/>
  <c r="E1843" i="1"/>
  <c r="D1843" i="1"/>
  <c r="E1842" i="1"/>
  <c r="D1842" i="1"/>
  <c r="E1841" i="1"/>
  <c r="D1841" i="1"/>
  <c r="E1840" i="1"/>
  <c r="D1840" i="1"/>
  <c r="E1839" i="1"/>
  <c r="D1839" i="1"/>
  <c r="E1838" i="1"/>
  <c r="D1838" i="1"/>
  <c r="E1837" i="1"/>
  <c r="D1837" i="1"/>
  <c r="E1836" i="1"/>
  <c r="D1836" i="1"/>
  <c r="E1835" i="1"/>
  <c r="D1835" i="1"/>
  <c r="E1834" i="1"/>
  <c r="D1834" i="1"/>
  <c r="E1833" i="1"/>
  <c r="D1833" i="1"/>
  <c r="E1832" i="1"/>
  <c r="D1832" i="1"/>
  <c r="E1831" i="1"/>
  <c r="D1831" i="1"/>
  <c r="E1830" i="1"/>
  <c r="D1830" i="1"/>
  <c r="E1829" i="1"/>
  <c r="D1829" i="1"/>
  <c r="E1828" i="1"/>
  <c r="D1828" i="1"/>
  <c r="E1827" i="1"/>
  <c r="D1827" i="1"/>
  <c r="E1826" i="1"/>
  <c r="D1826" i="1"/>
  <c r="E1825" i="1"/>
  <c r="D1825" i="1"/>
  <c r="E1824" i="1"/>
  <c r="D1824" i="1"/>
  <c r="E1823" i="1"/>
  <c r="D1823" i="1"/>
  <c r="E1822" i="1"/>
  <c r="D1822" i="1"/>
  <c r="E1821" i="1"/>
  <c r="D1821" i="1"/>
  <c r="E1820" i="1"/>
  <c r="D1820" i="1"/>
  <c r="E1819" i="1"/>
  <c r="D1819" i="1"/>
  <c r="E1818" i="1"/>
  <c r="D1818" i="1"/>
  <c r="E1817" i="1"/>
  <c r="D1817" i="1"/>
  <c r="E1816" i="1"/>
  <c r="D1816" i="1"/>
  <c r="E1815" i="1"/>
  <c r="D1815" i="1"/>
  <c r="E1814" i="1"/>
  <c r="D1814" i="1"/>
  <c r="E1813" i="1"/>
  <c r="D1813" i="1"/>
  <c r="E1812" i="1"/>
  <c r="D1812" i="1"/>
  <c r="E1811" i="1"/>
  <c r="D1811" i="1"/>
  <c r="E1810" i="1"/>
  <c r="D1810" i="1"/>
  <c r="E1809" i="1"/>
  <c r="D1809" i="1"/>
  <c r="E1808" i="1"/>
  <c r="D1808" i="1"/>
  <c r="E1807" i="1"/>
  <c r="D1807" i="1"/>
  <c r="E1806" i="1"/>
  <c r="D1806" i="1"/>
  <c r="E1805" i="1"/>
  <c r="D1805" i="1"/>
  <c r="E1804" i="1"/>
  <c r="D1804" i="1"/>
  <c r="E1803" i="1"/>
  <c r="D1803" i="1"/>
  <c r="E1802" i="1"/>
  <c r="D1802" i="1"/>
  <c r="E1801" i="1"/>
  <c r="D1801" i="1"/>
  <c r="E1800" i="1"/>
  <c r="D1800" i="1"/>
  <c r="E1799" i="1"/>
  <c r="D1799" i="1"/>
  <c r="E1798" i="1"/>
  <c r="D1798" i="1"/>
  <c r="E1797" i="1"/>
  <c r="D1797" i="1"/>
  <c r="E1796" i="1"/>
  <c r="D1796" i="1"/>
  <c r="E1795" i="1"/>
  <c r="D1795" i="1"/>
  <c r="E1794" i="1"/>
  <c r="D1794" i="1"/>
  <c r="E1793" i="1"/>
  <c r="D1793" i="1"/>
  <c r="E1792" i="1"/>
  <c r="D1792" i="1"/>
  <c r="E1791" i="1"/>
  <c r="D1791" i="1"/>
  <c r="E1790" i="1"/>
  <c r="D1790" i="1"/>
  <c r="E1789" i="1"/>
  <c r="D1789" i="1"/>
  <c r="E1788" i="1"/>
  <c r="D1788" i="1"/>
  <c r="E1787" i="1"/>
  <c r="D1787" i="1"/>
  <c r="E1786" i="1"/>
  <c r="D1786" i="1"/>
  <c r="E1785" i="1"/>
  <c r="D1785" i="1"/>
  <c r="E1784" i="1"/>
  <c r="D1784" i="1"/>
  <c r="E1783" i="1"/>
  <c r="D1783" i="1"/>
  <c r="E1782" i="1"/>
  <c r="D1782" i="1"/>
  <c r="E1781" i="1"/>
  <c r="D1781" i="1"/>
  <c r="E1780" i="1"/>
  <c r="D1780" i="1"/>
  <c r="E1779" i="1"/>
  <c r="D1779" i="1"/>
  <c r="E1778" i="1"/>
  <c r="D1778" i="1"/>
  <c r="E1777" i="1"/>
  <c r="D1777" i="1"/>
  <c r="E1776" i="1"/>
  <c r="D1776" i="1"/>
  <c r="E1775" i="1"/>
  <c r="D1775" i="1"/>
  <c r="E1774" i="1"/>
  <c r="D1774" i="1"/>
  <c r="E1773" i="1"/>
  <c r="D1773" i="1"/>
  <c r="E1772" i="1"/>
  <c r="D1772" i="1"/>
  <c r="E1771" i="1"/>
  <c r="D1771" i="1"/>
  <c r="E1770" i="1"/>
  <c r="D1770" i="1"/>
  <c r="E1769" i="1"/>
  <c r="D1769" i="1"/>
  <c r="E1768" i="1"/>
  <c r="D1768" i="1"/>
  <c r="E1767" i="1"/>
  <c r="D1767" i="1"/>
  <c r="E1766" i="1"/>
  <c r="D1766" i="1"/>
  <c r="E1765" i="1"/>
  <c r="D1765" i="1"/>
  <c r="E1764" i="1"/>
  <c r="D1764" i="1"/>
  <c r="E1763" i="1"/>
  <c r="D1763" i="1"/>
  <c r="E1762" i="1"/>
  <c r="D1762" i="1"/>
  <c r="E1761" i="1"/>
  <c r="D1761" i="1"/>
  <c r="E1760" i="1"/>
  <c r="D1760" i="1"/>
  <c r="E1759" i="1"/>
  <c r="D1759" i="1"/>
  <c r="E1758" i="1"/>
  <c r="D1758" i="1"/>
  <c r="E1757" i="1"/>
  <c r="D1757" i="1"/>
  <c r="E1756" i="1"/>
  <c r="D1756" i="1"/>
  <c r="E1755" i="1"/>
  <c r="D1755" i="1"/>
  <c r="E1754" i="1"/>
  <c r="D1754" i="1"/>
  <c r="E1753" i="1"/>
  <c r="D1753" i="1"/>
  <c r="E1752" i="1"/>
  <c r="D1752" i="1"/>
  <c r="E1751" i="1"/>
  <c r="D1751" i="1"/>
  <c r="E1750" i="1"/>
  <c r="D1750" i="1"/>
  <c r="E1749" i="1"/>
  <c r="D1749" i="1"/>
  <c r="E1748" i="1"/>
  <c r="D1748" i="1"/>
  <c r="E1747" i="1"/>
  <c r="D1747" i="1"/>
  <c r="F1746" i="1"/>
  <c r="E1746" i="1"/>
  <c r="D1746" i="1"/>
  <c r="E1745" i="1"/>
  <c r="D1745" i="1"/>
  <c r="E1744" i="1"/>
  <c r="D1744" i="1"/>
  <c r="F1743" i="1"/>
  <c r="E1743" i="1"/>
  <c r="D1743" i="1"/>
  <c r="E1742" i="1"/>
  <c r="D1742" i="1"/>
  <c r="E1741" i="1"/>
  <c r="D1741" i="1"/>
  <c r="E1740" i="1"/>
  <c r="D1740" i="1"/>
  <c r="E1739" i="1"/>
  <c r="D1739" i="1"/>
  <c r="F1738" i="1"/>
  <c r="E1738" i="1"/>
  <c r="D1738" i="1"/>
  <c r="E1737" i="1"/>
  <c r="D1737" i="1"/>
  <c r="E1736" i="1"/>
  <c r="D1736" i="1"/>
  <c r="E1735" i="1"/>
  <c r="D1735" i="1"/>
  <c r="E1734" i="1"/>
  <c r="D1734" i="1"/>
  <c r="E1733" i="1"/>
  <c r="D1733" i="1"/>
  <c r="E1732" i="1"/>
  <c r="D1732" i="1"/>
  <c r="E1731" i="1"/>
  <c r="D1731" i="1"/>
  <c r="E1730" i="1"/>
  <c r="D1730" i="1"/>
  <c r="E1729" i="1"/>
  <c r="D1729" i="1"/>
  <c r="E1728" i="1"/>
  <c r="D1728" i="1"/>
  <c r="E1727" i="1"/>
  <c r="D1727" i="1"/>
  <c r="E1726" i="1"/>
  <c r="D1726" i="1"/>
  <c r="E1725" i="1"/>
  <c r="D1725" i="1"/>
  <c r="E1724" i="1"/>
  <c r="D1724" i="1"/>
  <c r="F1723" i="1"/>
  <c r="E1723" i="1"/>
  <c r="D1723" i="1"/>
  <c r="F1722" i="1"/>
  <c r="E1722" i="1"/>
  <c r="D1722" i="1"/>
  <c r="F1721" i="1"/>
  <c r="E1721" i="1"/>
  <c r="D1721" i="1"/>
  <c r="F1720" i="1"/>
  <c r="E1720" i="1"/>
  <c r="D1720" i="1"/>
  <c r="F1719" i="1"/>
  <c r="E1719" i="1"/>
  <c r="D1719" i="1"/>
  <c r="F1718" i="1"/>
  <c r="E1718" i="1"/>
  <c r="D1718" i="1"/>
  <c r="F1717" i="1"/>
  <c r="E1717" i="1"/>
  <c r="D1717" i="1"/>
  <c r="E1716" i="1"/>
  <c r="D1716" i="1"/>
  <c r="E1715" i="1"/>
  <c r="D1715" i="1"/>
  <c r="E1714" i="1"/>
  <c r="D1714" i="1"/>
  <c r="E1713" i="1"/>
  <c r="D1713" i="1"/>
  <c r="E1712" i="1"/>
  <c r="D1712" i="1"/>
  <c r="E1711" i="1"/>
  <c r="D1711" i="1"/>
  <c r="E1710" i="1"/>
  <c r="D1710" i="1"/>
  <c r="E1709" i="1"/>
  <c r="D1709" i="1"/>
  <c r="E1708" i="1"/>
  <c r="D1708" i="1"/>
  <c r="E1707" i="1"/>
  <c r="D1707" i="1"/>
  <c r="E1706" i="1"/>
  <c r="D1706" i="1"/>
  <c r="E1705" i="1"/>
  <c r="D1705" i="1"/>
  <c r="E1704" i="1"/>
  <c r="D1704" i="1"/>
  <c r="E1703" i="1"/>
  <c r="D1703" i="1"/>
  <c r="E1702" i="1"/>
  <c r="D1702" i="1"/>
  <c r="E1701" i="1"/>
  <c r="D1701" i="1"/>
  <c r="E1700" i="1"/>
  <c r="D1700" i="1"/>
  <c r="E1699" i="1"/>
  <c r="D1699" i="1"/>
  <c r="E1698" i="1"/>
  <c r="D1698" i="1"/>
  <c r="E1697" i="1"/>
  <c r="D1697" i="1"/>
  <c r="E1696" i="1"/>
  <c r="D1696" i="1"/>
  <c r="E1695" i="1"/>
  <c r="D1695" i="1"/>
  <c r="E1694" i="1"/>
  <c r="D1694" i="1"/>
  <c r="E1693" i="1"/>
  <c r="D1693" i="1"/>
  <c r="E1692" i="1"/>
  <c r="D1692" i="1"/>
  <c r="E1691" i="1"/>
  <c r="D1691" i="1"/>
  <c r="E1690" i="1"/>
  <c r="D1690" i="1"/>
  <c r="E1689" i="1"/>
  <c r="D1689" i="1"/>
  <c r="E1688" i="1"/>
  <c r="D1688" i="1"/>
  <c r="E1687" i="1"/>
  <c r="D1687" i="1"/>
  <c r="E1686" i="1"/>
  <c r="D1686" i="1"/>
  <c r="E1685" i="1"/>
  <c r="D1685" i="1"/>
  <c r="E1684" i="1"/>
  <c r="D1684" i="1"/>
  <c r="E1683" i="1"/>
  <c r="D1683" i="1"/>
  <c r="E1682" i="1"/>
  <c r="D1682" i="1"/>
  <c r="E1681" i="1"/>
  <c r="D1681" i="1"/>
  <c r="E1680" i="1"/>
  <c r="D1680" i="1"/>
  <c r="E1679" i="1"/>
  <c r="D1679" i="1"/>
  <c r="E1678" i="1"/>
  <c r="D1678" i="1"/>
  <c r="E1677" i="1"/>
  <c r="D1677" i="1"/>
  <c r="E1676" i="1"/>
  <c r="D1676" i="1"/>
  <c r="E1675" i="1"/>
  <c r="D1675" i="1"/>
  <c r="E1674" i="1"/>
  <c r="D1674" i="1"/>
  <c r="E1673" i="1"/>
  <c r="D1673" i="1"/>
  <c r="E1672" i="1"/>
  <c r="D1672" i="1"/>
  <c r="E1671" i="1"/>
  <c r="D1671" i="1"/>
  <c r="E1670" i="1"/>
  <c r="D1670" i="1"/>
  <c r="E1669" i="1"/>
  <c r="D1669" i="1"/>
  <c r="E1668" i="1"/>
  <c r="D1668" i="1"/>
  <c r="E1667" i="1"/>
  <c r="D1667" i="1"/>
  <c r="E1666" i="1"/>
  <c r="D1666" i="1"/>
  <c r="E1665" i="1"/>
  <c r="D1665" i="1"/>
  <c r="E1664" i="1"/>
  <c r="D1664" i="1"/>
  <c r="F1663" i="1"/>
  <c r="E1663" i="1"/>
  <c r="D1663" i="1"/>
  <c r="E1662" i="1"/>
  <c r="D1662" i="1"/>
  <c r="E1661" i="1"/>
  <c r="D1661" i="1"/>
  <c r="E1660" i="1"/>
  <c r="D1660" i="1"/>
  <c r="E1659" i="1"/>
  <c r="D1659" i="1"/>
  <c r="E1658" i="1"/>
  <c r="D1658" i="1"/>
  <c r="E1657" i="1"/>
  <c r="D1657" i="1"/>
  <c r="E1656" i="1"/>
  <c r="D1656" i="1"/>
  <c r="E1655" i="1"/>
  <c r="D1655" i="1"/>
  <c r="E1654" i="1"/>
  <c r="D1654" i="1"/>
  <c r="E1653" i="1"/>
  <c r="D1653" i="1"/>
  <c r="E1652" i="1"/>
  <c r="D1652" i="1"/>
  <c r="E1651" i="1"/>
  <c r="D1651" i="1"/>
  <c r="E1650" i="1"/>
  <c r="D1650" i="1"/>
  <c r="E1649" i="1"/>
  <c r="D1649" i="1"/>
  <c r="E1648" i="1"/>
  <c r="D1648" i="1"/>
  <c r="E1647" i="1"/>
  <c r="D1647" i="1"/>
  <c r="E1646" i="1"/>
  <c r="D1646" i="1"/>
  <c r="E1645" i="1"/>
  <c r="D1645" i="1"/>
  <c r="F1644" i="1"/>
  <c r="E1644" i="1"/>
  <c r="D1644" i="1"/>
  <c r="F1643" i="1"/>
  <c r="E1643" i="1"/>
  <c r="D1643" i="1"/>
  <c r="F1642" i="1"/>
  <c r="E1642" i="1"/>
  <c r="D1642" i="1"/>
  <c r="F1641" i="1"/>
  <c r="E1641" i="1"/>
  <c r="D1641" i="1"/>
  <c r="F1640" i="1"/>
  <c r="E1640" i="1"/>
  <c r="D1640" i="1"/>
  <c r="E1639" i="1"/>
  <c r="D1639" i="1"/>
  <c r="E1638" i="1"/>
  <c r="D1638" i="1"/>
  <c r="E1637" i="1"/>
  <c r="D1637" i="1"/>
  <c r="E1636" i="1"/>
  <c r="D1636" i="1"/>
  <c r="E1635" i="1"/>
  <c r="D1635" i="1"/>
  <c r="E1634" i="1"/>
  <c r="D1634" i="1"/>
  <c r="E1633" i="1"/>
  <c r="D1633" i="1"/>
  <c r="E1632" i="1"/>
  <c r="D1632" i="1"/>
  <c r="E1631" i="1"/>
  <c r="D1631" i="1"/>
  <c r="E1630" i="1"/>
  <c r="D1630" i="1"/>
  <c r="E1629" i="1"/>
  <c r="D1629" i="1"/>
  <c r="E1628" i="1"/>
  <c r="D1628" i="1"/>
  <c r="E1627" i="1"/>
  <c r="D1627" i="1"/>
  <c r="E1626" i="1"/>
  <c r="D1626" i="1"/>
  <c r="E1625" i="1"/>
  <c r="D1625" i="1"/>
  <c r="E1624" i="1"/>
  <c r="D1624" i="1"/>
  <c r="E1623" i="1"/>
  <c r="D1623" i="1"/>
  <c r="E1622" i="1"/>
  <c r="D1622" i="1"/>
  <c r="E1621" i="1"/>
  <c r="D1621" i="1"/>
  <c r="E1620" i="1"/>
  <c r="D1620" i="1"/>
  <c r="E1619" i="1"/>
  <c r="D1619" i="1"/>
  <c r="E1618" i="1"/>
  <c r="D1618" i="1"/>
  <c r="E1617" i="1"/>
  <c r="D1617" i="1"/>
  <c r="E1616" i="1"/>
  <c r="D1616" i="1"/>
  <c r="E1615" i="1"/>
  <c r="D1615" i="1"/>
  <c r="E1614" i="1"/>
  <c r="D1614" i="1"/>
  <c r="E1613" i="1"/>
  <c r="D1613" i="1"/>
  <c r="E1612" i="1"/>
  <c r="D1612" i="1"/>
  <c r="E1611" i="1"/>
  <c r="D1611" i="1"/>
  <c r="E1610" i="1"/>
  <c r="D1610" i="1"/>
  <c r="E1609" i="1"/>
  <c r="D1609" i="1"/>
  <c r="E1608" i="1"/>
  <c r="D1608" i="1"/>
  <c r="E1607" i="1"/>
  <c r="D1607" i="1"/>
  <c r="E1606" i="1"/>
  <c r="D1606" i="1"/>
  <c r="E1605" i="1"/>
  <c r="D1605" i="1"/>
  <c r="E1604" i="1"/>
  <c r="D1604" i="1"/>
  <c r="E1603" i="1"/>
  <c r="D1603" i="1"/>
  <c r="E1602" i="1"/>
  <c r="D1602" i="1"/>
  <c r="E1601" i="1"/>
  <c r="D1601" i="1"/>
  <c r="E1600" i="1"/>
  <c r="D1600" i="1"/>
  <c r="E1599" i="1"/>
  <c r="D1599" i="1"/>
  <c r="E1598" i="1"/>
  <c r="D1598" i="1"/>
  <c r="E1597" i="1"/>
  <c r="D1597" i="1"/>
  <c r="E1596" i="1"/>
  <c r="D1596" i="1"/>
  <c r="E1595" i="1"/>
  <c r="D1595" i="1"/>
  <c r="E1594" i="1"/>
  <c r="D1594" i="1"/>
  <c r="E1593" i="1"/>
  <c r="D1593" i="1"/>
  <c r="E1592" i="1"/>
  <c r="D1592" i="1"/>
  <c r="E1591" i="1"/>
  <c r="D1591" i="1"/>
  <c r="E1590" i="1"/>
  <c r="D1590" i="1"/>
  <c r="E1589" i="1"/>
  <c r="D1589" i="1"/>
  <c r="E1588" i="1"/>
  <c r="D1588" i="1"/>
  <c r="E1587" i="1"/>
  <c r="D1587" i="1"/>
  <c r="E1586" i="1"/>
  <c r="D1586" i="1"/>
  <c r="E1585" i="1"/>
  <c r="D1585" i="1"/>
  <c r="E1584" i="1"/>
  <c r="D1584" i="1"/>
  <c r="E1583" i="1"/>
  <c r="D1583" i="1"/>
  <c r="E1582" i="1"/>
  <c r="D1582" i="1"/>
  <c r="E1581" i="1"/>
  <c r="D1581" i="1"/>
  <c r="E1580" i="1"/>
  <c r="D1580" i="1"/>
  <c r="E1579" i="1"/>
  <c r="D1579" i="1"/>
  <c r="E1578" i="1"/>
  <c r="D1578" i="1"/>
  <c r="E1577" i="1"/>
  <c r="D1577" i="1"/>
  <c r="E1576" i="1"/>
  <c r="D1576" i="1"/>
  <c r="E1575" i="1"/>
  <c r="D1575" i="1"/>
  <c r="E1574" i="1"/>
  <c r="D1574" i="1"/>
  <c r="E1573" i="1"/>
  <c r="D1573" i="1"/>
  <c r="E1572" i="1"/>
  <c r="D1572" i="1"/>
  <c r="E1571" i="1"/>
  <c r="D1571" i="1"/>
  <c r="E1570" i="1"/>
  <c r="D1570" i="1"/>
  <c r="E1569" i="1"/>
  <c r="D1569" i="1"/>
  <c r="E1568" i="1"/>
  <c r="D1568" i="1"/>
  <c r="E1567" i="1"/>
  <c r="D1567" i="1"/>
  <c r="E1566" i="1"/>
  <c r="D1566" i="1"/>
  <c r="E1565" i="1"/>
  <c r="D1565" i="1"/>
  <c r="E1564" i="1"/>
  <c r="D1564" i="1"/>
  <c r="E1563" i="1"/>
  <c r="D1563" i="1"/>
  <c r="E1562" i="1"/>
  <c r="D1562" i="1"/>
  <c r="E1561" i="1"/>
  <c r="D1561" i="1"/>
  <c r="E1560" i="1"/>
  <c r="D1560" i="1"/>
  <c r="E1559" i="1"/>
  <c r="D1559" i="1"/>
  <c r="E1558" i="1"/>
  <c r="D1558" i="1"/>
  <c r="E1557" i="1"/>
  <c r="D1557" i="1"/>
  <c r="E1556" i="1"/>
  <c r="D1556" i="1"/>
  <c r="E1555" i="1"/>
  <c r="D1555" i="1"/>
  <c r="E1554" i="1"/>
  <c r="D1554" i="1"/>
  <c r="E1553" i="1"/>
  <c r="D1553" i="1"/>
  <c r="F1552" i="1"/>
  <c r="E1552" i="1"/>
  <c r="D1552" i="1"/>
  <c r="E1551" i="1"/>
  <c r="D1551" i="1"/>
  <c r="E1550" i="1"/>
  <c r="D1550" i="1"/>
  <c r="E1549" i="1"/>
  <c r="D1549" i="1"/>
  <c r="E1548" i="1"/>
  <c r="D1548" i="1"/>
  <c r="E1547" i="1"/>
  <c r="D1547" i="1"/>
  <c r="E1546" i="1"/>
  <c r="D1546" i="1"/>
  <c r="E1545" i="1"/>
  <c r="D1545" i="1"/>
  <c r="F1544" i="1"/>
  <c r="E1544" i="1"/>
  <c r="D1544" i="1"/>
  <c r="E1543" i="1"/>
  <c r="D1543" i="1"/>
  <c r="F1542" i="1"/>
  <c r="E1542" i="1"/>
  <c r="D1542" i="1"/>
  <c r="F1541" i="1"/>
  <c r="E1541" i="1"/>
  <c r="D1541" i="1"/>
  <c r="F1540" i="1"/>
  <c r="E1540" i="1"/>
  <c r="D1540" i="1"/>
  <c r="F1539" i="1"/>
  <c r="E1539" i="1"/>
  <c r="D1539" i="1"/>
  <c r="E1538" i="1"/>
  <c r="D1538" i="1"/>
  <c r="E1537" i="1"/>
  <c r="D1537" i="1"/>
  <c r="E1536" i="1"/>
  <c r="D1536" i="1"/>
  <c r="E1535" i="1"/>
  <c r="D1535" i="1"/>
  <c r="E1534" i="1"/>
  <c r="D1534" i="1"/>
  <c r="E1533" i="1"/>
  <c r="D1533" i="1"/>
  <c r="E1532" i="1"/>
  <c r="D1532" i="1"/>
  <c r="E1531" i="1"/>
  <c r="D1531" i="1"/>
  <c r="E1530" i="1"/>
  <c r="D1530" i="1"/>
  <c r="E1529" i="1"/>
  <c r="D1529" i="1"/>
  <c r="E1528" i="1"/>
  <c r="D1528" i="1"/>
  <c r="E1527" i="1"/>
  <c r="D1527" i="1"/>
  <c r="E1526" i="1"/>
  <c r="D1526" i="1"/>
  <c r="E1525" i="1"/>
  <c r="D1525" i="1"/>
  <c r="E1524" i="1"/>
  <c r="D1524" i="1"/>
  <c r="E1523" i="1"/>
  <c r="D1523" i="1"/>
  <c r="E1522" i="1"/>
  <c r="D1522" i="1"/>
  <c r="E1521" i="1"/>
  <c r="D1521" i="1"/>
  <c r="E1520" i="1"/>
  <c r="D1520" i="1"/>
  <c r="E1519" i="1"/>
  <c r="D1519" i="1"/>
  <c r="E1518" i="1"/>
  <c r="D1518" i="1"/>
  <c r="E1517" i="1"/>
  <c r="D1517" i="1"/>
  <c r="E1516" i="1"/>
  <c r="D1516" i="1"/>
  <c r="E1515" i="1"/>
  <c r="D1515" i="1"/>
  <c r="E1514" i="1"/>
  <c r="D1514" i="1"/>
  <c r="E1513" i="1"/>
  <c r="D1513" i="1"/>
  <c r="E1512" i="1"/>
  <c r="D1512" i="1"/>
  <c r="E1511" i="1"/>
  <c r="D1511" i="1"/>
  <c r="E1510" i="1"/>
  <c r="D1510" i="1"/>
  <c r="E1509" i="1"/>
  <c r="D1509" i="1"/>
  <c r="F1508" i="1"/>
  <c r="E1508" i="1"/>
  <c r="D1508" i="1"/>
  <c r="E1507" i="1"/>
  <c r="D1507" i="1"/>
  <c r="E1506" i="1"/>
  <c r="D1506" i="1"/>
  <c r="E1505" i="1"/>
  <c r="D1505" i="1"/>
  <c r="E1504" i="1"/>
  <c r="D1504" i="1"/>
  <c r="E1503" i="1"/>
  <c r="D1503" i="1"/>
  <c r="E1502" i="1"/>
  <c r="D1502" i="1"/>
  <c r="E1501" i="1"/>
  <c r="D1501" i="1"/>
  <c r="E1500" i="1"/>
  <c r="D1500" i="1"/>
  <c r="E1499" i="1"/>
  <c r="D1499" i="1"/>
  <c r="E1498" i="1"/>
  <c r="D1498" i="1"/>
  <c r="E1497" i="1"/>
  <c r="D1497" i="1"/>
  <c r="E1496" i="1"/>
  <c r="D1496" i="1"/>
  <c r="E1495" i="1"/>
  <c r="D1495" i="1"/>
  <c r="E1494" i="1"/>
  <c r="D1494" i="1"/>
  <c r="E1493" i="1"/>
  <c r="D1493" i="1"/>
  <c r="E1492" i="1"/>
  <c r="D1492" i="1"/>
  <c r="E1491" i="1"/>
  <c r="D1491" i="1"/>
  <c r="E1490" i="1"/>
  <c r="D1490" i="1"/>
  <c r="E1489" i="1"/>
  <c r="D1489" i="1"/>
  <c r="E1488" i="1"/>
  <c r="D1488" i="1"/>
  <c r="E1487" i="1"/>
  <c r="D1487" i="1"/>
  <c r="E1486" i="1"/>
  <c r="D1486" i="1"/>
  <c r="E1485" i="1"/>
  <c r="D1485" i="1"/>
  <c r="E1484" i="1"/>
  <c r="D1484" i="1"/>
  <c r="E1483" i="1"/>
  <c r="D1483" i="1"/>
  <c r="E1482" i="1"/>
  <c r="D1482" i="1"/>
  <c r="E1481" i="1"/>
  <c r="D1481" i="1"/>
  <c r="E1480" i="1"/>
  <c r="D1480" i="1"/>
  <c r="E1479" i="1"/>
  <c r="D1479" i="1"/>
  <c r="E1478" i="1"/>
  <c r="D1478" i="1"/>
  <c r="E1477" i="1"/>
  <c r="D1477" i="1"/>
  <c r="E1476" i="1"/>
  <c r="D1476" i="1"/>
  <c r="E1475" i="1"/>
  <c r="D1475" i="1"/>
  <c r="E1474" i="1"/>
  <c r="D1474" i="1"/>
  <c r="E1473" i="1"/>
  <c r="D1473" i="1"/>
  <c r="E1472" i="1"/>
  <c r="D1472" i="1"/>
  <c r="E1471" i="1"/>
  <c r="D1471" i="1"/>
  <c r="E1470" i="1"/>
  <c r="D1470" i="1"/>
  <c r="E1469" i="1"/>
  <c r="D1469" i="1"/>
  <c r="E1468" i="1"/>
  <c r="D1468" i="1"/>
  <c r="E1467" i="1"/>
  <c r="D1467" i="1"/>
  <c r="E1466" i="1"/>
  <c r="D1466" i="1"/>
  <c r="E1465" i="1"/>
  <c r="D1465" i="1"/>
  <c r="E1464" i="1"/>
  <c r="D1464" i="1"/>
  <c r="E1463" i="1"/>
  <c r="D1463" i="1"/>
  <c r="E1462" i="1"/>
  <c r="D1462" i="1"/>
  <c r="E1461" i="1"/>
  <c r="D1461" i="1"/>
  <c r="E1460" i="1"/>
  <c r="D1460" i="1"/>
  <c r="E1459" i="1"/>
  <c r="D1459" i="1"/>
  <c r="E1458" i="1"/>
  <c r="D1458" i="1"/>
  <c r="E1457" i="1"/>
  <c r="D1457" i="1"/>
  <c r="E1456" i="1"/>
  <c r="D1456" i="1"/>
  <c r="E1455" i="1"/>
  <c r="D1455" i="1"/>
  <c r="E1454" i="1"/>
  <c r="D1454" i="1"/>
  <c r="E1453" i="1"/>
  <c r="D1453" i="1"/>
  <c r="E1452" i="1"/>
  <c r="D1452" i="1"/>
  <c r="E1451" i="1"/>
  <c r="D1451" i="1"/>
  <c r="E1450" i="1"/>
  <c r="D1450" i="1"/>
  <c r="E1449" i="1"/>
  <c r="D1449" i="1"/>
  <c r="E1448" i="1"/>
  <c r="D1448" i="1"/>
  <c r="E1447" i="1"/>
  <c r="D1447" i="1"/>
  <c r="E1446" i="1"/>
  <c r="D1446" i="1"/>
  <c r="E1445" i="1"/>
  <c r="D1445" i="1"/>
  <c r="E1444" i="1"/>
  <c r="D1444" i="1"/>
  <c r="E1443" i="1"/>
  <c r="D1443" i="1"/>
  <c r="E1442" i="1"/>
  <c r="D1442" i="1"/>
  <c r="E1441" i="1"/>
  <c r="D1441" i="1"/>
  <c r="E1440" i="1"/>
  <c r="D1440" i="1"/>
  <c r="E1439" i="1"/>
  <c r="D1439" i="1"/>
  <c r="E1438" i="1"/>
  <c r="D1438" i="1"/>
  <c r="E1437" i="1"/>
  <c r="D1437" i="1"/>
  <c r="E1436" i="1"/>
  <c r="D1436" i="1"/>
  <c r="E1435" i="1"/>
  <c r="D1435" i="1"/>
  <c r="E1434" i="1"/>
  <c r="D1434" i="1"/>
  <c r="E1433" i="1"/>
  <c r="D1433" i="1"/>
  <c r="E1432" i="1"/>
  <c r="D1432" i="1"/>
  <c r="E1431" i="1"/>
  <c r="D1431" i="1"/>
  <c r="E1430" i="1"/>
  <c r="D1430" i="1"/>
  <c r="E1429" i="1"/>
  <c r="D1429" i="1"/>
  <c r="E1428" i="1"/>
  <c r="D1428" i="1"/>
  <c r="E1427" i="1"/>
  <c r="D1427" i="1"/>
  <c r="E1426" i="1"/>
  <c r="D1426" i="1"/>
  <c r="E1425" i="1"/>
  <c r="D1425" i="1"/>
  <c r="E1424" i="1"/>
  <c r="D1424" i="1"/>
  <c r="E1423" i="1"/>
  <c r="D1423" i="1"/>
  <c r="E1422" i="1"/>
  <c r="D1422" i="1"/>
  <c r="E1421" i="1"/>
  <c r="D1421" i="1"/>
  <c r="E1420" i="1"/>
  <c r="D1420" i="1"/>
  <c r="E1419" i="1"/>
  <c r="D1419" i="1"/>
  <c r="E1418" i="1"/>
  <c r="D1418" i="1"/>
  <c r="E1417" i="1"/>
  <c r="D1417" i="1"/>
  <c r="E1416" i="1"/>
  <c r="D1416" i="1"/>
  <c r="E1415" i="1"/>
  <c r="D1415" i="1"/>
  <c r="E1414" i="1"/>
  <c r="D1414" i="1"/>
  <c r="E1413" i="1"/>
  <c r="D1413" i="1"/>
  <c r="E1412" i="1"/>
  <c r="D1412" i="1"/>
  <c r="E1411" i="1"/>
  <c r="D1411" i="1"/>
  <c r="E1410" i="1"/>
  <c r="D1410" i="1"/>
  <c r="E1409" i="1"/>
  <c r="D1409" i="1"/>
  <c r="E1408" i="1"/>
  <c r="D1408" i="1"/>
  <c r="E1407" i="1"/>
  <c r="D1407" i="1"/>
  <c r="E1406" i="1"/>
  <c r="D1406" i="1"/>
  <c r="E1405" i="1"/>
  <c r="D1405" i="1"/>
  <c r="E1404" i="1"/>
  <c r="D1404" i="1"/>
  <c r="E1403" i="1"/>
  <c r="D1403" i="1"/>
  <c r="E1402" i="1"/>
  <c r="D1402" i="1"/>
  <c r="E1401" i="1"/>
  <c r="D1401" i="1"/>
  <c r="E1400" i="1"/>
  <c r="D1400" i="1"/>
  <c r="E1399" i="1"/>
  <c r="D1399" i="1"/>
  <c r="E1398" i="1"/>
  <c r="D1398" i="1"/>
  <c r="E1397" i="1"/>
  <c r="D1397" i="1"/>
  <c r="E1396" i="1"/>
  <c r="D1396" i="1"/>
  <c r="E1395" i="1"/>
  <c r="D1395" i="1"/>
  <c r="E1394" i="1"/>
  <c r="D1394" i="1"/>
  <c r="E1393" i="1"/>
  <c r="D1393" i="1"/>
  <c r="E1392" i="1"/>
  <c r="D1392" i="1"/>
  <c r="E1391" i="1"/>
  <c r="D1391" i="1"/>
  <c r="E1390" i="1"/>
  <c r="D1390" i="1"/>
  <c r="E1389" i="1"/>
  <c r="D1389" i="1"/>
  <c r="E1388" i="1"/>
  <c r="D1388" i="1"/>
  <c r="E1387" i="1"/>
  <c r="D1387" i="1"/>
  <c r="E1386" i="1"/>
  <c r="D1386" i="1"/>
  <c r="E1385" i="1"/>
  <c r="D1385" i="1"/>
  <c r="E1384" i="1"/>
  <c r="D1384" i="1"/>
  <c r="E1383" i="1"/>
  <c r="D1383" i="1"/>
  <c r="E1382" i="1"/>
  <c r="D1382" i="1"/>
  <c r="E1381" i="1"/>
  <c r="D1381" i="1"/>
  <c r="E1380" i="1"/>
  <c r="D1380" i="1"/>
  <c r="E1379" i="1"/>
  <c r="D1379" i="1"/>
  <c r="E1378" i="1"/>
  <c r="D1378" i="1"/>
  <c r="E1377" i="1"/>
  <c r="D1377" i="1"/>
  <c r="E1376" i="1"/>
  <c r="D1376" i="1"/>
  <c r="E1375" i="1"/>
  <c r="D1375" i="1"/>
  <c r="E1374" i="1"/>
  <c r="D1374" i="1"/>
  <c r="E1373" i="1"/>
  <c r="D1373" i="1"/>
  <c r="E1372" i="1"/>
  <c r="D1372" i="1"/>
  <c r="E1371" i="1"/>
  <c r="D1371" i="1"/>
  <c r="E1370" i="1"/>
  <c r="D1370" i="1"/>
  <c r="E1369" i="1"/>
  <c r="D1369" i="1"/>
  <c r="E1368" i="1"/>
  <c r="D1368" i="1"/>
  <c r="E1367" i="1"/>
  <c r="D1367" i="1"/>
  <c r="E1366" i="1"/>
  <c r="D1366" i="1"/>
  <c r="E1365" i="1"/>
  <c r="D1365" i="1"/>
  <c r="E1364" i="1"/>
  <c r="D1364" i="1"/>
  <c r="E1363" i="1"/>
  <c r="D1363" i="1"/>
  <c r="E1362" i="1"/>
  <c r="D1362" i="1"/>
  <c r="E1361" i="1"/>
  <c r="D1361" i="1"/>
  <c r="E1360" i="1"/>
  <c r="D1360" i="1"/>
  <c r="E1359" i="1"/>
  <c r="D1359" i="1"/>
  <c r="E1358" i="1"/>
  <c r="D1358" i="1"/>
  <c r="E1357" i="1"/>
  <c r="D1357" i="1"/>
  <c r="E1356" i="1"/>
  <c r="D1356" i="1"/>
  <c r="E1355" i="1"/>
  <c r="D1355" i="1"/>
  <c r="E1354" i="1"/>
  <c r="D1354" i="1"/>
  <c r="E1353" i="1"/>
  <c r="D1353" i="1"/>
  <c r="E1352" i="1"/>
  <c r="D1352" i="1"/>
  <c r="E1351" i="1"/>
  <c r="D1351" i="1"/>
  <c r="E1350" i="1"/>
  <c r="D1350" i="1"/>
  <c r="E1349" i="1"/>
  <c r="D1349" i="1"/>
  <c r="E1348" i="1"/>
  <c r="D1348" i="1"/>
  <c r="E1347" i="1"/>
  <c r="D1347" i="1"/>
  <c r="E1346" i="1"/>
  <c r="D1346" i="1"/>
  <c r="E1345" i="1"/>
  <c r="D1345" i="1"/>
  <c r="E1344" i="1"/>
  <c r="D1344" i="1"/>
  <c r="E1343" i="1"/>
  <c r="D1343" i="1"/>
  <c r="E1342" i="1"/>
  <c r="D1342" i="1"/>
  <c r="E1341" i="1"/>
  <c r="D1341" i="1"/>
  <c r="E1340" i="1"/>
  <c r="D1340" i="1"/>
  <c r="E1339" i="1"/>
  <c r="D1339" i="1"/>
  <c r="E1338" i="1"/>
  <c r="D1338" i="1"/>
  <c r="E1337" i="1"/>
  <c r="D1337" i="1"/>
  <c r="E1336" i="1"/>
  <c r="D1336" i="1"/>
  <c r="E1335" i="1"/>
  <c r="D1335" i="1"/>
  <c r="E1334" i="1"/>
  <c r="D1334" i="1"/>
  <c r="E1333" i="1"/>
  <c r="D1333" i="1"/>
  <c r="E1332" i="1"/>
  <c r="D1332" i="1"/>
  <c r="E1331" i="1"/>
  <c r="D1331" i="1"/>
  <c r="E1330" i="1"/>
  <c r="D1330" i="1"/>
  <c r="E1329" i="1"/>
  <c r="D1329" i="1"/>
  <c r="E1328" i="1"/>
  <c r="D1328" i="1"/>
  <c r="E1327" i="1"/>
  <c r="D1327" i="1"/>
  <c r="E1326" i="1"/>
  <c r="D1326" i="1"/>
  <c r="E1325" i="1"/>
  <c r="D1325" i="1"/>
  <c r="E1324" i="1"/>
  <c r="D1324" i="1"/>
  <c r="E1323" i="1"/>
  <c r="D1323" i="1"/>
  <c r="E1322" i="1"/>
  <c r="D1322" i="1"/>
  <c r="E1321" i="1"/>
  <c r="D1321" i="1"/>
  <c r="E1320" i="1"/>
  <c r="D1320" i="1"/>
  <c r="E1319" i="1"/>
  <c r="D1319" i="1"/>
  <c r="E1318" i="1"/>
  <c r="D1318" i="1"/>
  <c r="E1317" i="1"/>
  <c r="D1317" i="1"/>
  <c r="E1316" i="1"/>
  <c r="D1316" i="1"/>
  <c r="E1315" i="1"/>
  <c r="D1315" i="1"/>
  <c r="E1314" i="1"/>
  <c r="D1314" i="1"/>
  <c r="E1313" i="1"/>
  <c r="D1313" i="1"/>
  <c r="E1312" i="1"/>
  <c r="D1312" i="1"/>
  <c r="E1311" i="1"/>
  <c r="D1311" i="1"/>
  <c r="E1310" i="1"/>
  <c r="D1310" i="1"/>
  <c r="E1309" i="1"/>
  <c r="D1309" i="1"/>
  <c r="E1308" i="1"/>
  <c r="D1308" i="1"/>
  <c r="E1307" i="1"/>
  <c r="D1307" i="1"/>
  <c r="E1306" i="1"/>
  <c r="D1306" i="1"/>
  <c r="E1305" i="1"/>
  <c r="D1305" i="1"/>
  <c r="E1304" i="1"/>
  <c r="D1304" i="1"/>
  <c r="E1303" i="1"/>
  <c r="D1303" i="1"/>
  <c r="E1302" i="1"/>
  <c r="D1302" i="1"/>
  <c r="E1301" i="1"/>
  <c r="D1301" i="1"/>
  <c r="E1300" i="1"/>
  <c r="D1300" i="1"/>
  <c r="E1299" i="1"/>
  <c r="D1299" i="1"/>
  <c r="E1298" i="1"/>
  <c r="D1298" i="1"/>
  <c r="E1297" i="1"/>
  <c r="D1297" i="1"/>
  <c r="E1296" i="1"/>
  <c r="D1296" i="1"/>
  <c r="E1295" i="1"/>
  <c r="D1295" i="1"/>
  <c r="E1294" i="1"/>
  <c r="D1294" i="1"/>
  <c r="E1293" i="1"/>
  <c r="D1293" i="1"/>
  <c r="E1292" i="1"/>
  <c r="D1292" i="1"/>
  <c r="E1291" i="1"/>
  <c r="D1291" i="1"/>
  <c r="E1290" i="1"/>
  <c r="D1290" i="1"/>
  <c r="E1289" i="1"/>
  <c r="D1289" i="1"/>
  <c r="E1288" i="1"/>
  <c r="D1288" i="1"/>
  <c r="E1287" i="1"/>
  <c r="D1287" i="1"/>
  <c r="E1286" i="1"/>
  <c r="D1286" i="1"/>
  <c r="E1285" i="1"/>
  <c r="D1285" i="1"/>
  <c r="E1284" i="1"/>
  <c r="D1284" i="1"/>
  <c r="E1283" i="1"/>
  <c r="D1283" i="1"/>
  <c r="E1282" i="1"/>
  <c r="D1282" i="1"/>
  <c r="E1281" i="1"/>
  <c r="D1281" i="1"/>
  <c r="E1280" i="1"/>
  <c r="D1280" i="1"/>
  <c r="E1279" i="1"/>
  <c r="D1279" i="1"/>
  <c r="E1278" i="1"/>
  <c r="D1278" i="1"/>
  <c r="E1277" i="1"/>
  <c r="D1277" i="1"/>
  <c r="E1276" i="1"/>
  <c r="D1276" i="1"/>
  <c r="E1275" i="1"/>
  <c r="D1275" i="1"/>
  <c r="E1274" i="1"/>
  <c r="D1274" i="1"/>
  <c r="E1273" i="1"/>
  <c r="D1273" i="1"/>
  <c r="E1272" i="1"/>
  <c r="D1272" i="1"/>
  <c r="E1271" i="1"/>
  <c r="D1271" i="1"/>
  <c r="E1270" i="1"/>
  <c r="D1270" i="1"/>
  <c r="E1269" i="1"/>
  <c r="D1269" i="1"/>
  <c r="E1268" i="1"/>
  <c r="D1268" i="1"/>
  <c r="E1267" i="1"/>
  <c r="D1267" i="1"/>
  <c r="E1266" i="1"/>
  <c r="D1266" i="1"/>
  <c r="E1265" i="1"/>
  <c r="D1265" i="1"/>
  <c r="E1264" i="1"/>
  <c r="D1264" i="1"/>
  <c r="E1263" i="1"/>
  <c r="D1263" i="1"/>
  <c r="F1262" i="1"/>
  <c r="E1262" i="1"/>
  <c r="D1262" i="1"/>
  <c r="F1261" i="1"/>
  <c r="E1261" i="1"/>
  <c r="D1261" i="1"/>
  <c r="F1260" i="1"/>
  <c r="E1260" i="1"/>
  <c r="D1260" i="1"/>
  <c r="F1259" i="1"/>
  <c r="E1259" i="1"/>
  <c r="D1259" i="1"/>
  <c r="E1258" i="1"/>
  <c r="D1258" i="1"/>
  <c r="E1257" i="1"/>
  <c r="D1257" i="1"/>
  <c r="E1256" i="1"/>
  <c r="D1256" i="1"/>
  <c r="E1255" i="1"/>
  <c r="D1255" i="1"/>
  <c r="E1254" i="1"/>
  <c r="D1254" i="1"/>
  <c r="E1253" i="1"/>
  <c r="D1253" i="1"/>
  <c r="E1252" i="1"/>
  <c r="D1252" i="1"/>
  <c r="E1251" i="1"/>
  <c r="D1251" i="1"/>
  <c r="E1250" i="1"/>
  <c r="D1250" i="1"/>
  <c r="E1249" i="1"/>
  <c r="D1249" i="1"/>
  <c r="E1248" i="1"/>
  <c r="D1248" i="1"/>
  <c r="E1247" i="1"/>
  <c r="D1247" i="1"/>
  <c r="E1246" i="1"/>
  <c r="D1246" i="1"/>
  <c r="E1245" i="1"/>
  <c r="D1245" i="1"/>
  <c r="E1244" i="1"/>
  <c r="D1244" i="1"/>
  <c r="E1243" i="1"/>
  <c r="D1243" i="1"/>
  <c r="E1242" i="1"/>
  <c r="D1242" i="1"/>
  <c r="E1241" i="1"/>
  <c r="D1241" i="1"/>
  <c r="F1240" i="1"/>
  <c r="E1240" i="1"/>
  <c r="D1240" i="1"/>
  <c r="E1239" i="1"/>
  <c r="D1239" i="1"/>
  <c r="E1238" i="1"/>
  <c r="D1238" i="1"/>
  <c r="E1237" i="1"/>
  <c r="D1237" i="1"/>
  <c r="F1236" i="1"/>
  <c r="E1236" i="1"/>
  <c r="D1236" i="1"/>
  <c r="F1235" i="1"/>
  <c r="E1235" i="1"/>
  <c r="D1235" i="1"/>
  <c r="F1234" i="1"/>
  <c r="E1234" i="1"/>
  <c r="D1234" i="1"/>
  <c r="F1233" i="1"/>
  <c r="E1233" i="1"/>
  <c r="D1233" i="1"/>
  <c r="F1232" i="1"/>
  <c r="E1232" i="1"/>
  <c r="D1232" i="1"/>
  <c r="F1231" i="1"/>
  <c r="E1231" i="1"/>
  <c r="D1231" i="1"/>
  <c r="F1230" i="1"/>
  <c r="E1230" i="1"/>
  <c r="D1230" i="1"/>
  <c r="F1229" i="1"/>
  <c r="E1229" i="1"/>
  <c r="D1229" i="1"/>
  <c r="E1228" i="1"/>
  <c r="D1228" i="1"/>
  <c r="E1227" i="1"/>
  <c r="D1227" i="1"/>
  <c r="E1226" i="1"/>
  <c r="D1226" i="1"/>
  <c r="E1225" i="1"/>
  <c r="D1225" i="1"/>
  <c r="E1224" i="1"/>
  <c r="D1224" i="1"/>
  <c r="E1223" i="1"/>
  <c r="D1223" i="1"/>
  <c r="E1222" i="1"/>
  <c r="D1222" i="1"/>
  <c r="E1221" i="1"/>
  <c r="D1221" i="1"/>
  <c r="E1220" i="1"/>
  <c r="D1220" i="1"/>
  <c r="E1219" i="1"/>
  <c r="D1219" i="1"/>
  <c r="E1218" i="1"/>
  <c r="D1218" i="1"/>
  <c r="E1217" i="1"/>
  <c r="D1217" i="1"/>
  <c r="E1216" i="1"/>
  <c r="D1216" i="1"/>
  <c r="E1215" i="1"/>
  <c r="D1215" i="1"/>
  <c r="E1214" i="1"/>
  <c r="D1214" i="1"/>
  <c r="E1213" i="1"/>
  <c r="D1213" i="1"/>
  <c r="E1212" i="1"/>
  <c r="D1212" i="1"/>
  <c r="E1211" i="1"/>
  <c r="D1211" i="1"/>
  <c r="E1210" i="1"/>
  <c r="D1210" i="1"/>
  <c r="E1209" i="1"/>
  <c r="D1209" i="1"/>
  <c r="E1208" i="1"/>
  <c r="D1208" i="1"/>
  <c r="E1207" i="1"/>
  <c r="D1207" i="1"/>
  <c r="F1206" i="1"/>
  <c r="E1206" i="1"/>
  <c r="D1206" i="1"/>
  <c r="E1205" i="1"/>
  <c r="D1205" i="1"/>
  <c r="E1204" i="1"/>
  <c r="D1204" i="1"/>
  <c r="E1203" i="1"/>
  <c r="D1203" i="1"/>
  <c r="E1202" i="1"/>
  <c r="D1202" i="1"/>
  <c r="E1201" i="1"/>
  <c r="D1201" i="1"/>
  <c r="E1200" i="1"/>
  <c r="D1200" i="1"/>
  <c r="E1199" i="1"/>
  <c r="D1199" i="1"/>
  <c r="E1198" i="1"/>
  <c r="D1198" i="1"/>
  <c r="E1197" i="1"/>
  <c r="D1197" i="1"/>
  <c r="E1196" i="1"/>
  <c r="D1196" i="1"/>
  <c r="E1195" i="1"/>
  <c r="D1195" i="1"/>
  <c r="F1194" i="1"/>
  <c r="E1194" i="1"/>
  <c r="D1194" i="1"/>
  <c r="E1193" i="1"/>
  <c r="D1193" i="1"/>
  <c r="E1192" i="1"/>
  <c r="D1192" i="1"/>
  <c r="E1191" i="1"/>
  <c r="D1191" i="1"/>
  <c r="E1190" i="1"/>
  <c r="D1190" i="1"/>
  <c r="E1189" i="1"/>
  <c r="D1189" i="1"/>
  <c r="E1188" i="1"/>
  <c r="D1188" i="1"/>
  <c r="E1187" i="1"/>
  <c r="D1187" i="1"/>
  <c r="E1186" i="1"/>
  <c r="D1186" i="1"/>
  <c r="E1185" i="1"/>
  <c r="D1185" i="1"/>
  <c r="E1184" i="1"/>
  <c r="D1184" i="1"/>
  <c r="E1183" i="1"/>
  <c r="D1183" i="1"/>
  <c r="E1182" i="1"/>
  <c r="D1182" i="1"/>
  <c r="E1181" i="1"/>
  <c r="D1181" i="1"/>
  <c r="E1180" i="1"/>
  <c r="D1180" i="1"/>
  <c r="E1179" i="1"/>
  <c r="D1179" i="1"/>
  <c r="E1178" i="1"/>
  <c r="D1178" i="1"/>
  <c r="E1177" i="1"/>
  <c r="D1177" i="1"/>
  <c r="E1176" i="1"/>
  <c r="D1176" i="1"/>
  <c r="E1175" i="1"/>
  <c r="D1175" i="1"/>
  <c r="E1174" i="1"/>
  <c r="D1174" i="1"/>
  <c r="E1173" i="1"/>
  <c r="D1173" i="1"/>
  <c r="E1172" i="1"/>
  <c r="D1172" i="1"/>
  <c r="E1171" i="1"/>
  <c r="D1171" i="1"/>
  <c r="E1170" i="1"/>
  <c r="D1170" i="1"/>
  <c r="E1169" i="1"/>
  <c r="D1169" i="1"/>
  <c r="E1168" i="1"/>
  <c r="D1168" i="1"/>
  <c r="E1167" i="1"/>
  <c r="D1167" i="1"/>
  <c r="E1166" i="1"/>
  <c r="D1166" i="1"/>
  <c r="E1165" i="1"/>
  <c r="D1165" i="1"/>
  <c r="E1164" i="1"/>
  <c r="D1164" i="1"/>
  <c r="E1163" i="1"/>
  <c r="D1163" i="1"/>
  <c r="E1162" i="1"/>
  <c r="D1162" i="1"/>
  <c r="E1161" i="1"/>
  <c r="D1161" i="1"/>
  <c r="E1160" i="1"/>
  <c r="D1160" i="1"/>
  <c r="E1159" i="1"/>
  <c r="D1159" i="1"/>
  <c r="E1158" i="1"/>
  <c r="D1158" i="1"/>
  <c r="E1157" i="1"/>
  <c r="D1157" i="1"/>
  <c r="E1156" i="1"/>
  <c r="D1156" i="1"/>
  <c r="E1155" i="1"/>
  <c r="D1155" i="1"/>
  <c r="E1154" i="1"/>
  <c r="D1154" i="1"/>
  <c r="E1153" i="1"/>
  <c r="D1153" i="1"/>
  <c r="E1152" i="1"/>
  <c r="D1152" i="1"/>
  <c r="E1151" i="1"/>
  <c r="D1151" i="1"/>
  <c r="E1150" i="1"/>
  <c r="D1150" i="1"/>
  <c r="E1149" i="1"/>
  <c r="D1149" i="1"/>
  <c r="E1148" i="1"/>
  <c r="D1148" i="1"/>
  <c r="E1147" i="1"/>
  <c r="D1147" i="1"/>
  <c r="E1146" i="1"/>
  <c r="D1146" i="1"/>
  <c r="E1145" i="1"/>
  <c r="D1145" i="1"/>
  <c r="E1144" i="1"/>
  <c r="D1144" i="1"/>
  <c r="F1143" i="1"/>
  <c r="E1143" i="1"/>
  <c r="D1143" i="1"/>
  <c r="E1142" i="1"/>
  <c r="D1142" i="1"/>
  <c r="E1141" i="1"/>
  <c r="D1141" i="1"/>
  <c r="E1140" i="1"/>
  <c r="D1140" i="1"/>
  <c r="E1139" i="1"/>
  <c r="D1139" i="1"/>
  <c r="E1138" i="1"/>
  <c r="D1138" i="1"/>
  <c r="E1137" i="1"/>
  <c r="D1137" i="1"/>
  <c r="E1136" i="1"/>
  <c r="D1136" i="1"/>
  <c r="E1135" i="1"/>
  <c r="D1135" i="1"/>
  <c r="E1134" i="1"/>
  <c r="D1134" i="1"/>
  <c r="E1133" i="1"/>
  <c r="D1133" i="1"/>
  <c r="E1132" i="1"/>
  <c r="D1132" i="1"/>
  <c r="E1131" i="1"/>
  <c r="D1131" i="1"/>
  <c r="E1130" i="1"/>
  <c r="D1130" i="1"/>
  <c r="E1129" i="1"/>
  <c r="D1129" i="1"/>
  <c r="E1128" i="1"/>
  <c r="D1128" i="1"/>
  <c r="E1127" i="1"/>
  <c r="D1127" i="1"/>
  <c r="E1126" i="1"/>
  <c r="D1126" i="1"/>
  <c r="E1125" i="1"/>
  <c r="D1125" i="1"/>
  <c r="E1124" i="1"/>
  <c r="D1124" i="1"/>
  <c r="F1123" i="1"/>
  <c r="E1123" i="1"/>
  <c r="D1123" i="1"/>
  <c r="E1122" i="1"/>
  <c r="D1122" i="1"/>
  <c r="E1121" i="1"/>
  <c r="D1121" i="1"/>
  <c r="E1120" i="1"/>
  <c r="D1120" i="1"/>
  <c r="E1119" i="1"/>
  <c r="D1119" i="1"/>
  <c r="E1118" i="1"/>
  <c r="D1118" i="1"/>
  <c r="E1117" i="1"/>
  <c r="D1117" i="1"/>
  <c r="E1116" i="1"/>
  <c r="D1116" i="1"/>
  <c r="E1115" i="1"/>
  <c r="D1115" i="1"/>
  <c r="E1114" i="1"/>
  <c r="D1114" i="1"/>
  <c r="E1113" i="1"/>
  <c r="D1113" i="1"/>
  <c r="E1112" i="1"/>
  <c r="D1112" i="1"/>
  <c r="F1111" i="1"/>
  <c r="E1111" i="1"/>
  <c r="D1111" i="1"/>
  <c r="F1110" i="1"/>
  <c r="E1110" i="1"/>
  <c r="D1110" i="1"/>
  <c r="F1109" i="1"/>
  <c r="E1109" i="1"/>
  <c r="D1109" i="1"/>
  <c r="E1108" i="1"/>
  <c r="D1108" i="1"/>
  <c r="E1107" i="1"/>
  <c r="D1107" i="1"/>
  <c r="E1106" i="1"/>
  <c r="D1106" i="1"/>
  <c r="E1105" i="1"/>
  <c r="D1105" i="1"/>
  <c r="E1104" i="1"/>
  <c r="D1104" i="1"/>
  <c r="E1103" i="1"/>
  <c r="D1103" i="1"/>
  <c r="E1102" i="1"/>
  <c r="D1102" i="1"/>
  <c r="E1101" i="1"/>
  <c r="D1101" i="1"/>
  <c r="E1100" i="1"/>
  <c r="D1100" i="1"/>
  <c r="E1099" i="1"/>
  <c r="D1099" i="1"/>
  <c r="E1098" i="1"/>
  <c r="D1098" i="1"/>
  <c r="E1097" i="1"/>
  <c r="D1097" i="1"/>
  <c r="E1096" i="1"/>
  <c r="D1096" i="1"/>
  <c r="E1095" i="1"/>
  <c r="D1095" i="1"/>
  <c r="E1094" i="1"/>
  <c r="D1094" i="1"/>
  <c r="E1093" i="1"/>
  <c r="D1093" i="1"/>
  <c r="E1092" i="1"/>
  <c r="D1092" i="1"/>
  <c r="E1091" i="1"/>
  <c r="D1091" i="1"/>
  <c r="E1090" i="1"/>
  <c r="D1090" i="1"/>
  <c r="E1089" i="1"/>
  <c r="D1089" i="1"/>
  <c r="E1088" i="1"/>
  <c r="D1088" i="1"/>
  <c r="E1087" i="1"/>
  <c r="D1087" i="1"/>
  <c r="E1086" i="1"/>
  <c r="D1086" i="1"/>
  <c r="E1085" i="1"/>
  <c r="D1085" i="1"/>
  <c r="E1084" i="1"/>
  <c r="D1084" i="1"/>
  <c r="E1083" i="1"/>
  <c r="D1083" i="1"/>
  <c r="E1082" i="1"/>
  <c r="D1082" i="1"/>
  <c r="E1081" i="1"/>
  <c r="D1081" i="1"/>
  <c r="E1080" i="1"/>
  <c r="D1080" i="1"/>
  <c r="E1079" i="1"/>
  <c r="D1079" i="1"/>
  <c r="E1078" i="1"/>
  <c r="D1078" i="1"/>
  <c r="F1077" i="1"/>
  <c r="E1077" i="1"/>
  <c r="D1077" i="1"/>
  <c r="E1076" i="1"/>
  <c r="D1076" i="1"/>
  <c r="E1075" i="1"/>
  <c r="D1075" i="1"/>
  <c r="E1074" i="1"/>
  <c r="D1074" i="1"/>
  <c r="E1073" i="1"/>
  <c r="D1073" i="1"/>
  <c r="F1072" i="1"/>
  <c r="E1072" i="1"/>
  <c r="D1072" i="1"/>
  <c r="E1071" i="1"/>
  <c r="D1071" i="1"/>
  <c r="E1070" i="1"/>
  <c r="D1070" i="1"/>
  <c r="E1069" i="1"/>
  <c r="D1069" i="1"/>
  <c r="E1068" i="1"/>
  <c r="D1068" i="1"/>
  <c r="E1067" i="1"/>
  <c r="D1067" i="1"/>
  <c r="E1066" i="1"/>
  <c r="D1066" i="1"/>
  <c r="E1065" i="1"/>
  <c r="D1065" i="1"/>
  <c r="E1064" i="1"/>
  <c r="D1064" i="1"/>
  <c r="E1063" i="1"/>
  <c r="D1063" i="1"/>
  <c r="E1062" i="1"/>
  <c r="D1062" i="1"/>
  <c r="E1061" i="1"/>
  <c r="D1061" i="1"/>
  <c r="E1060" i="1"/>
  <c r="D1060" i="1"/>
  <c r="E1059" i="1"/>
  <c r="D1059" i="1"/>
  <c r="E1058" i="1"/>
  <c r="D1058" i="1"/>
  <c r="E1057" i="1"/>
  <c r="D1057" i="1"/>
  <c r="E1056" i="1"/>
  <c r="D1056" i="1"/>
  <c r="E1055" i="1"/>
  <c r="D1055" i="1"/>
  <c r="E1054" i="1"/>
  <c r="D1054" i="1"/>
  <c r="E1053" i="1"/>
  <c r="D1053" i="1"/>
  <c r="E1052" i="1"/>
  <c r="D1052" i="1"/>
  <c r="E1051" i="1"/>
  <c r="D1051" i="1"/>
  <c r="E1050" i="1"/>
  <c r="D1050" i="1"/>
  <c r="E1049" i="1"/>
  <c r="D1049" i="1"/>
  <c r="E1048" i="1"/>
  <c r="D1048" i="1"/>
  <c r="E1047" i="1"/>
  <c r="D1047" i="1"/>
  <c r="E1046" i="1"/>
  <c r="D1046" i="1"/>
  <c r="E1045" i="1"/>
  <c r="D1045" i="1"/>
  <c r="E1044" i="1"/>
  <c r="D1044" i="1"/>
  <c r="E1043" i="1"/>
  <c r="D1043" i="1"/>
  <c r="E1042" i="1"/>
  <c r="D1042" i="1"/>
  <c r="E1041" i="1"/>
  <c r="D1041" i="1"/>
  <c r="E1040" i="1"/>
  <c r="D1040" i="1"/>
  <c r="E1039" i="1"/>
  <c r="D1039" i="1"/>
  <c r="E1038" i="1"/>
  <c r="D1038" i="1"/>
  <c r="E1037" i="1"/>
  <c r="D1037" i="1"/>
  <c r="E1036" i="1"/>
  <c r="D1036" i="1"/>
  <c r="E1035" i="1"/>
  <c r="D1035" i="1"/>
  <c r="E1034" i="1"/>
  <c r="D1034" i="1"/>
  <c r="E1033" i="1"/>
  <c r="D1033" i="1"/>
  <c r="E1032" i="1"/>
  <c r="D1032" i="1"/>
  <c r="E1031" i="1"/>
  <c r="D1031" i="1"/>
  <c r="E1030" i="1"/>
  <c r="D1030" i="1"/>
  <c r="E1029" i="1"/>
  <c r="D1029" i="1"/>
  <c r="E1028" i="1"/>
  <c r="D1028" i="1"/>
  <c r="E1027" i="1"/>
  <c r="D1027" i="1"/>
  <c r="E1026" i="1"/>
  <c r="D1026" i="1"/>
  <c r="E1025" i="1"/>
  <c r="D1025" i="1"/>
  <c r="E1024" i="1"/>
  <c r="D1024" i="1"/>
  <c r="E1023" i="1"/>
  <c r="D1023" i="1"/>
  <c r="E1022" i="1"/>
  <c r="D1022" i="1"/>
  <c r="E1021" i="1"/>
  <c r="D1021" i="1"/>
  <c r="E1020" i="1"/>
  <c r="D1020" i="1"/>
  <c r="E1019" i="1"/>
  <c r="D1019" i="1"/>
  <c r="E1018" i="1"/>
  <c r="D1018" i="1"/>
  <c r="E1017" i="1"/>
  <c r="D1017" i="1"/>
  <c r="E1016" i="1"/>
  <c r="D1016" i="1"/>
  <c r="E1015" i="1"/>
  <c r="D1015" i="1"/>
  <c r="E1014" i="1"/>
  <c r="D1014" i="1"/>
  <c r="E1013" i="1"/>
  <c r="D1013" i="1"/>
  <c r="E1012" i="1"/>
  <c r="D1012" i="1"/>
  <c r="E1011" i="1"/>
  <c r="D1011" i="1"/>
  <c r="E1010" i="1"/>
  <c r="D1010" i="1"/>
  <c r="E1009" i="1"/>
  <c r="D1009" i="1"/>
  <c r="E1008" i="1"/>
  <c r="D1008" i="1"/>
  <c r="E1007" i="1"/>
  <c r="D1007" i="1"/>
  <c r="E1006" i="1"/>
  <c r="D1006" i="1"/>
  <c r="E1005" i="1"/>
  <c r="D1005" i="1"/>
  <c r="E1004" i="1"/>
  <c r="D1004" i="1"/>
  <c r="E1003" i="1"/>
  <c r="D1003" i="1"/>
  <c r="E1002" i="1"/>
  <c r="D1002" i="1"/>
  <c r="E1001" i="1"/>
  <c r="D1001" i="1"/>
  <c r="E1000" i="1"/>
  <c r="D1000" i="1"/>
  <c r="E999" i="1"/>
  <c r="D999" i="1"/>
  <c r="E998" i="1"/>
  <c r="D998" i="1"/>
  <c r="E997" i="1"/>
  <c r="D997" i="1"/>
  <c r="E996" i="1"/>
  <c r="D996" i="1"/>
  <c r="E995" i="1"/>
  <c r="D995" i="1"/>
  <c r="E994" i="1"/>
  <c r="D994" i="1"/>
  <c r="E993" i="1"/>
  <c r="D993" i="1"/>
  <c r="E992" i="1"/>
  <c r="D992" i="1"/>
  <c r="E991" i="1"/>
  <c r="D991" i="1"/>
  <c r="E990" i="1"/>
  <c r="D990" i="1"/>
  <c r="E989" i="1"/>
  <c r="D989" i="1"/>
  <c r="E988" i="1"/>
  <c r="D988" i="1"/>
  <c r="E987" i="1"/>
  <c r="D987" i="1"/>
  <c r="E986" i="1"/>
  <c r="D986" i="1"/>
  <c r="E985" i="1"/>
  <c r="D985" i="1"/>
  <c r="E984" i="1"/>
  <c r="D984" i="1"/>
  <c r="E983" i="1"/>
  <c r="D983" i="1"/>
  <c r="E982" i="1"/>
  <c r="D982" i="1"/>
  <c r="E981" i="1"/>
  <c r="D981" i="1"/>
  <c r="E980" i="1"/>
  <c r="D980" i="1"/>
  <c r="E979" i="1"/>
  <c r="D979" i="1"/>
  <c r="E978" i="1"/>
  <c r="D978" i="1"/>
  <c r="E977" i="1"/>
  <c r="D977" i="1"/>
  <c r="E976" i="1"/>
  <c r="D976" i="1"/>
  <c r="E975" i="1"/>
  <c r="D975" i="1"/>
  <c r="E974" i="1"/>
  <c r="D974" i="1"/>
  <c r="E973" i="1"/>
  <c r="D973" i="1"/>
  <c r="E972" i="1"/>
  <c r="D972" i="1"/>
  <c r="E971" i="1"/>
  <c r="D971" i="1"/>
  <c r="E970" i="1"/>
  <c r="D970" i="1"/>
  <c r="E969" i="1"/>
  <c r="D969" i="1"/>
  <c r="E968" i="1"/>
  <c r="D968" i="1"/>
  <c r="E967" i="1"/>
  <c r="D967" i="1"/>
  <c r="E966" i="1"/>
  <c r="D966" i="1"/>
  <c r="E965" i="1"/>
  <c r="D965" i="1"/>
  <c r="E964" i="1"/>
  <c r="D964" i="1"/>
  <c r="E963" i="1"/>
  <c r="D963" i="1"/>
  <c r="E962" i="1"/>
  <c r="D962" i="1"/>
  <c r="E961" i="1"/>
  <c r="D961" i="1"/>
  <c r="E960" i="1"/>
  <c r="D960" i="1"/>
  <c r="E959" i="1"/>
  <c r="D959" i="1"/>
  <c r="E958" i="1"/>
  <c r="D958" i="1"/>
  <c r="E957" i="1"/>
  <c r="D957" i="1"/>
  <c r="E956" i="1"/>
  <c r="D956" i="1"/>
  <c r="E955" i="1"/>
  <c r="D955" i="1"/>
  <c r="E954" i="1"/>
  <c r="D954" i="1"/>
  <c r="E953" i="1"/>
  <c r="D953" i="1"/>
  <c r="E952" i="1"/>
  <c r="D952" i="1"/>
  <c r="E951" i="1"/>
  <c r="D951" i="1"/>
  <c r="E950" i="1"/>
  <c r="D950" i="1"/>
  <c r="E949" i="1"/>
  <c r="D949" i="1"/>
  <c r="E948" i="1"/>
  <c r="D948" i="1"/>
  <c r="E947" i="1"/>
  <c r="D947" i="1"/>
  <c r="E946" i="1"/>
  <c r="D946" i="1"/>
  <c r="E945" i="1"/>
  <c r="D945" i="1"/>
  <c r="E944" i="1"/>
  <c r="D944" i="1"/>
  <c r="E943" i="1"/>
  <c r="D943" i="1"/>
  <c r="E942" i="1"/>
  <c r="D942" i="1"/>
  <c r="E941" i="1"/>
  <c r="D941" i="1"/>
  <c r="E940" i="1"/>
  <c r="D940" i="1"/>
  <c r="E939" i="1"/>
  <c r="D939" i="1"/>
  <c r="E938" i="1"/>
  <c r="D938" i="1"/>
  <c r="F937" i="1"/>
  <c r="E937" i="1"/>
  <c r="D937" i="1"/>
  <c r="F936" i="1"/>
  <c r="E936" i="1"/>
  <c r="D936" i="1"/>
  <c r="F935" i="1"/>
  <c r="E935" i="1"/>
  <c r="D935" i="1"/>
  <c r="F934" i="1"/>
  <c r="E934" i="1"/>
  <c r="D934" i="1"/>
  <c r="F933" i="1"/>
  <c r="E933" i="1"/>
  <c r="D933" i="1"/>
  <c r="F932" i="1"/>
  <c r="E932" i="1"/>
  <c r="D932" i="1"/>
  <c r="F931" i="1"/>
  <c r="E931" i="1"/>
  <c r="D931" i="1"/>
  <c r="F930" i="1"/>
  <c r="E930" i="1"/>
  <c r="D930" i="1"/>
  <c r="F929" i="1"/>
  <c r="E929" i="1"/>
  <c r="D929" i="1"/>
  <c r="F928" i="1"/>
  <c r="E928" i="1"/>
  <c r="D928" i="1"/>
  <c r="F927" i="1"/>
  <c r="E927" i="1"/>
  <c r="D927" i="1"/>
  <c r="E926" i="1"/>
  <c r="D926" i="1"/>
  <c r="E925" i="1"/>
  <c r="D925" i="1"/>
  <c r="E924" i="1"/>
  <c r="D924" i="1"/>
  <c r="E923" i="1"/>
  <c r="D923" i="1"/>
  <c r="E922" i="1"/>
  <c r="D922" i="1"/>
  <c r="E921" i="1"/>
  <c r="D921" i="1"/>
  <c r="E920" i="1"/>
  <c r="D920" i="1"/>
  <c r="E919" i="1"/>
  <c r="D919" i="1"/>
  <c r="E918" i="1"/>
  <c r="D918" i="1"/>
  <c r="E917" i="1"/>
  <c r="D917" i="1"/>
  <c r="E916" i="1"/>
  <c r="D916" i="1"/>
  <c r="E915" i="1"/>
  <c r="D915" i="1"/>
  <c r="E914" i="1"/>
  <c r="D914" i="1"/>
  <c r="E913" i="1"/>
  <c r="D913" i="1"/>
  <c r="E912" i="1"/>
  <c r="D912" i="1"/>
  <c r="E911" i="1"/>
  <c r="D911" i="1"/>
  <c r="E910" i="1"/>
  <c r="D910" i="1"/>
  <c r="E909" i="1"/>
  <c r="D909" i="1"/>
  <c r="E908" i="1"/>
  <c r="D908" i="1"/>
  <c r="E907" i="1"/>
  <c r="D907" i="1"/>
  <c r="E906" i="1"/>
  <c r="D906" i="1"/>
  <c r="E905" i="1"/>
  <c r="D905" i="1"/>
  <c r="E904" i="1"/>
  <c r="D904" i="1"/>
  <c r="E903" i="1"/>
  <c r="D903" i="1"/>
  <c r="E902" i="1"/>
  <c r="D902" i="1"/>
  <c r="E901" i="1"/>
  <c r="D901" i="1"/>
  <c r="E900" i="1"/>
  <c r="D900" i="1"/>
  <c r="E899" i="1"/>
  <c r="D899" i="1"/>
  <c r="E898" i="1"/>
  <c r="D898" i="1"/>
  <c r="F897" i="1"/>
  <c r="E897" i="1"/>
  <c r="D897" i="1"/>
  <c r="E896" i="1"/>
  <c r="D896" i="1"/>
  <c r="E895" i="1"/>
  <c r="D895" i="1"/>
  <c r="E894" i="1"/>
  <c r="D894" i="1"/>
  <c r="F893" i="1"/>
  <c r="E893" i="1"/>
  <c r="D893" i="1"/>
  <c r="F892" i="1"/>
  <c r="E892" i="1"/>
  <c r="D892" i="1"/>
  <c r="F891" i="1"/>
  <c r="E891" i="1"/>
  <c r="D891" i="1"/>
  <c r="F890" i="1"/>
  <c r="E890" i="1"/>
  <c r="D890" i="1"/>
  <c r="E889" i="1"/>
  <c r="D889" i="1"/>
  <c r="E888" i="1"/>
  <c r="D888" i="1"/>
  <c r="E887" i="1"/>
  <c r="D887" i="1"/>
  <c r="E886" i="1"/>
  <c r="D886" i="1"/>
  <c r="E885" i="1"/>
  <c r="D885" i="1"/>
  <c r="E884" i="1"/>
  <c r="D884" i="1"/>
  <c r="E883" i="1"/>
  <c r="D883" i="1"/>
  <c r="E882" i="1"/>
  <c r="D882" i="1"/>
  <c r="E881" i="1"/>
  <c r="D881" i="1"/>
  <c r="E880" i="1"/>
  <c r="D880" i="1"/>
  <c r="E879" i="1"/>
  <c r="D879" i="1"/>
  <c r="E878" i="1"/>
  <c r="D878" i="1"/>
  <c r="E877" i="1"/>
  <c r="D877" i="1"/>
  <c r="E876" i="1"/>
  <c r="D876" i="1"/>
  <c r="F875" i="1"/>
  <c r="E875" i="1"/>
  <c r="D875" i="1"/>
  <c r="F874" i="1"/>
  <c r="E874" i="1"/>
  <c r="D874" i="1"/>
  <c r="F873" i="1"/>
  <c r="E873" i="1"/>
  <c r="D873" i="1"/>
  <c r="F872" i="1"/>
  <c r="E872" i="1"/>
  <c r="D872" i="1"/>
  <c r="F871" i="1"/>
  <c r="E871" i="1"/>
  <c r="D871" i="1"/>
  <c r="E870" i="1"/>
  <c r="D870" i="1"/>
  <c r="E869" i="1"/>
  <c r="D869" i="1"/>
  <c r="E868" i="1"/>
  <c r="D868" i="1"/>
  <c r="E867" i="1"/>
  <c r="D867" i="1"/>
  <c r="F866" i="1"/>
  <c r="E866" i="1"/>
  <c r="D866" i="1"/>
  <c r="F865" i="1"/>
  <c r="E865" i="1"/>
  <c r="D865" i="1"/>
  <c r="F864" i="1"/>
  <c r="E864" i="1"/>
  <c r="D864" i="1"/>
  <c r="F863" i="1"/>
  <c r="E863" i="1"/>
  <c r="D863" i="1"/>
  <c r="E862" i="1"/>
  <c r="D862" i="1"/>
  <c r="E861" i="1"/>
  <c r="D861" i="1"/>
  <c r="E860" i="1"/>
  <c r="D860" i="1"/>
  <c r="E859" i="1"/>
  <c r="D859" i="1"/>
  <c r="E858" i="1"/>
  <c r="D858" i="1"/>
  <c r="E857" i="1"/>
  <c r="D857" i="1"/>
  <c r="E856" i="1"/>
  <c r="D856" i="1"/>
  <c r="E855" i="1"/>
  <c r="D855" i="1"/>
  <c r="E854" i="1"/>
  <c r="D854" i="1"/>
  <c r="E853" i="1"/>
  <c r="D853" i="1"/>
  <c r="E852" i="1"/>
  <c r="D852" i="1"/>
  <c r="E851" i="1"/>
  <c r="D851" i="1"/>
  <c r="F850" i="1"/>
  <c r="E850" i="1"/>
  <c r="D850" i="1"/>
  <c r="E849" i="1"/>
  <c r="D849" i="1"/>
  <c r="E848" i="1"/>
  <c r="D848" i="1"/>
  <c r="E847" i="1"/>
  <c r="D847" i="1"/>
  <c r="E846" i="1"/>
  <c r="D846" i="1"/>
  <c r="E845" i="1"/>
  <c r="D845" i="1"/>
  <c r="E844" i="1"/>
  <c r="D844" i="1"/>
  <c r="E843" i="1"/>
  <c r="D843" i="1"/>
  <c r="E842" i="1"/>
  <c r="D842" i="1"/>
  <c r="E841" i="1"/>
  <c r="D841" i="1"/>
  <c r="E840" i="1"/>
  <c r="D840" i="1"/>
  <c r="E839" i="1"/>
  <c r="D839" i="1"/>
  <c r="E838" i="1"/>
  <c r="D838" i="1"/>
  <c r="E837" i="1"/>
  <c r="D837" i="1"/>
  <c r="E836" i="1"/>
  <c r="D836" i="1"/>
  <c r="E835" i="1"/>
  <c r="D835" i="1"/>
  <c r="E834" i="1"/>
  <c r="D834" i="1"/>
  <c r="E833" i="1"/>
  <c r="D833" i="1"/>
  <c r="E832" i="1"/>
  <c r="D832" i="1"/>
  <c r="E831" i="1"/>
  <c r="D831" i="1"/>
  <c r="E830" i="1"/>
  <c r="D830" i="1"/>
  <c r="E829" i="1"/>
  <c r="D829" i="1"/>
  <c r="E828" i="1"/>
  <c r="D828" i="1"/>
  <c r="E827" i="1"/>
  <c r="D827" i="1"/>
  <c r="E826" i="1"/>
  <c r="D826" i="1"/>
  <c r="E825" i="1"/>
  <c r="D825" i="1"/>
  <c r="F824" i="1"/>
  <c r="E824" i="1"/>
  <c r="D824" i="1"/>
  <c r="F823" i="1"/>
  <c r="E823" i="1"/>
  <c r="D823" i="1"/>
  <c r="F822" i="1"/>
  <c r="E822" i="1"/>
  <c r="D822" i="1"/>
  <c r="F821" i="1"/>
  <c r="E821" i="1"/>
  <c r="D821" i="1"/>
  <c r="E820" i="1"/>
  <c r="D820" i="1"/>
  <c r="E819" i="1"/>
  <c r="D819" i="1"/>
  <c r="E818" i="1"/>
  <c r="D818" i="1"/>
  <c r="E817" i="1"/>
  <c r="D817" i="1"/>
  <c r="E816" i="1"/>
  <c r="D816" i="1"/>
  <c r="E815" i="1"/>
  <c r="D815" i="1"/>
  <c r="E814" i="1"/>
  <c r="D814" i="1"/>
  <c r="E813" i="1"/>
  <c r="D813" i="1"/>
  <c r="E812" i="1"/>
  <c r="D812" i="1"/>
  <c r="E811" i="1"/>
  <c r="D811" i="1"/>
  <c r="F810" i="1"/>
  <c r="E810" i="1"/>
  <c r="D810" i="1"/>
  <c r="F809" i="1"/>
  <c r="E809" i="1"/>
  <c r="D809" i="1"/>
  <c r="F808" i="1"/>
  <c r="E808" i="1"/>
  <c r="D808" i="1"/>
  <c r="F807" i="1"/>
  <c r="E807" i="1"/>
  <c r="D807" i="1"/>
  <c r="F806" i="1"/>
  <c r="E806" i="1"/>
  <c r="D806" i="1"/>
  <c r="E805" i="1"/>
  <c r="D805" i="1"/>
  <c r="E804" i="1"/>
  <c r="D804" i="1"/>
  <c r="E803" i="1"/>
  <c r="D803" i="1"/>
  <c r="E802" i="1"/>
  <c r="D802" i="1"/>
  <c r="E801" i="1"/>
  <c r="D801" i="1"/>
  <c r="F800" i="1"/>
  <c r="E800" i="1"/>
  <c r="D800" i="1"/>
  <c r="E799" i="1"/>
  <c r="D799" i="1"/>
  <c r="E798" i="1"/>
  <c r="D798" i="1"/>
  <c r="F797" i="1"/>
  <c r="E797" i="1"/>
  <c r="D797" i="1"/>
  <c r="E796" i="1"/>
  <c r="D796" i="1"/>
  <c r="F795" i="1"/>
  <c r="E795" i="1"/>
  <c r="D795" i="1"/>
  <c r="E794" i="1"/>
  <c r="D794" i="1"/>
  <c r="E793" i="1"/>
  <c r="D793" i="1"/>
  <c r="E792" i="1"/>
  <c r="D792" i="1"/>
  <c r="E791" i="1"/>
  <c r="D791" i="1"/>
  <c r="E790" i="1"/>
  <c r="D790" i="1"/>
  <c r="E789" i="1"/>
  <c r="D789" i="1"/>
  <c r="E788" i="1"/>
  <c r="D788" i="1"/>
  <c r="E787" i="1"/>
  <c r="D787" i="1"/>
  <c r="E786" i="1"/>
  <c r="D786" i="1"/>
  <c r="F785" i="1"/>
  <c r="E785" i="1"/>
  <c r="D785" i="1"/>
  <c r="E784" i="1"/>
  <c r="D784" i="1"/>
  <c r="F783" i="1"/>
  <c r="E783" i="1"/>
  <c r="D783" i="1"/>
  <c r="E782" i="1"/>
  <c r="D782" i="1"/>
  <c r="F781" i="1"/>
  <c r="E781" i="1"/>
  <c r="D781" i="1"/>
  <c r="F780" i="1"/>
  <c r="E780" i="1"/>
  <c r="D780" i="1"/>
  <c r="E779" i="1"/>
  <c r="D779" i="1"/>
  <c r="E778" i="1"/>
  <c r="D778" i="1"/>
  <c r="E777" i="1"/>
  <c r="D777" i="1"/>
  <c r="E776" i="1"/>
  <c r="D776" i="1"/>
  <c r="E775" i="1"/>
  <c r="D775" i="1"/>
  <c r="E774" i="1"/>
  <c r="D774" i="1"/>
  <c r="E773" i="1"/>
  <c r="D773" i="1"/>
  <c r="E772" i="1"/>
  <c r="D772" i="1"/>
  <c r="E771" i="1"/>
  <c r="D771" i="1"/>
  <c r="E770" i="1"/>
  <c r="D770" i="1"/>
  <c r="E769" i="1"/>
  <c r="D769" i="1"/>
  <c r="E768" i="1"/>
  <c r="D768" i="1"/>
  <c r="E767" i="1"/>
  <c r="D767" i="1"/>
  <c r="E766" i="1"/>
  <c r="D766" i="1"/>
  <c r="E765" i="1"/>
  <c r="D765" i="1"/>
  <c r="E764" i="1"/>
  <c r="D764" i="1"/>
  <c r="E763" i="1"/>
  <c r="D763" i="1"/>
  <c r="E762" i="1"/>
  <c r="D762" i="1"/>
  <c r="E761" i="1"/>
  <c r="D761" i="1"/>
  <c r="E760" i="1"/>
  <c r="D760" i="1"/>
  <c r="E759" i="1"/>
  <c r="D759" i="1"/>
  <c r="E758" i="1"/>
  <c r="D758" i="1"/>
  <c r="E757" i="1"/>
  <c r="D757" i="1"/>
  <c r="E756" i="1"/>
  <c r="D756" i="1"/>
  <c r="E755" i="1"/>
  <c r="D755" i="1"/>
  <c r="E754" i="1"/>
  <c r="D754" i="1"/>
  <c r="E753" i="1"/>
  <c r="D753" i="1"/>
  <c r="E752" i="1"/>
  <c r="D752" i="1"/>
  <c r="E751" i="1"/>
  <c r="D751" i="1"/>
  <c r="E750" i="1"/>
  <c r="D750" i="1"/>
  <c r="E749" i="1"/>
  <c r="D749" i="1"/>
  <c r="E748" i="1"/>
  <c r="D748" i="1"/>
  <c r="E747" i="1"/>
  <c r="D747" i="1"/>
  <c r="E746" i="1"/>
  <c r="D746" i="1"/>
  <c r="E745" i="1"/>
  <c r="D745" i="1"/>
  <c r="E744" i="1"/>
  <c r="D744" i="1"/>
  <c r="E743" i="1"/>
  <c r="D743" i="1"/>
  <c r="E742" i="1"/>
  <c r="D742" i="1"/>
  <c r="E741" i="1"/>
  <c r="D741" i="1"/>
  <c r="E740" i="1"/>
  <c r="D740" i="1"/>
  <c r="E739" i="1"/>
  <c r="D739" i="1"/>
  <c r="E738" i="1"/>
  <c r="D738" i="1"/>
  <c r="E737" i="1"/>
  <c r="D737" i="1"/>
  <c r="E736" i="1"/>
  <c r="D736" i="1"/>
  <c r="E735" i="1"/>
  <c r="D735" i="1"/>
  <c r="E734" i="1"/>
  <c r="D734" i="1"/>
  <c r="E733" i="1"/>
  <c r="D733" i="1"/>
  <c r="E732" i="1"/>
  <c r="D732" i="1"/>
  <c r="E731" i="1"/>
  <c r="D731" i="1"/>
  <c r="E730" i="1"/>
  <c r="D730" i="1"/>
  <c r="E729" i="1"/>
  <c r="D729" i="1"/>
  <c r="F728" i="1"/>
  <c r="E728" i="1"/>
  <c r="D728" i="1"/>
  <c r="E727" i="1"/>
  <c r="D727" i="1"/>
  <c r="E726" i="1"/>
  <c r="D726" i="1"/>
  <c r="E725" i="1"/>
  <c r="D725" i="1"/>
  <c r="E724" i="1"/>
  <c r="D724" i="1"/>
  <c r="E723" i="1"/>
  <c r="D723" i="1"/>
  <c r="E722" i="1"/>
  <c r="D722" i="1"/>
  <c r="E721" i="1"/>
  <c r="D721" i="1"/>
  <c r="E720" i="1"/>
  <c r="D720" i="1"/>
  <c r="E719" i="1"/>
  <c r="D719" i="1"/>
  <c r="E718" i="1"/>
  <c r="D718" i="1"/>
  <c r="E717" i="1"/>
  <c r="D717" i="1"/>
  <c r="E716" i="1"/>
  <c r="D716" i="1"/>
  <c r="E715" i="1"/>
  <c r="D715" i="1"/>
  <c r="E714" i="1"/>
  <c r="D714" i="1"/>
  <c r="E713" i="1"/>
  <c r="D713" i="1"/>
  <c r="E712" i="1"/>
  <c r="D712" i="1"/>
  <c r="E711" i="1"/>
  <c r="D711" i="1"/>
  <c r="E710" i="1"/>
  <c r="D710" i="1"/>
  <c r="E709" i="1"/>
  <c r="D709" i="1"/>
  <c r="E708" i="1"/>
  <c r="D708" i="1"/>
  <c r="E707" i="1"/>
  <c r="D707" i="1"/>
  <c r="E706" i="1"/>
  <c r="D706" i="1"/>
  <c r="E705" i="1"/>
  <c r="D705" i="1"/>
  <c r="E704" i="1"/>
  <c r="D704" i="1"/>
  <c r="E703" i="1"/>
  <c r="D703" i="1"/>
  <c r="E702" i="1"/>
  <c r="D702" i="1"/>
  <c r="E701" i="1"/>
  <c r="D701" i="1"/>
  <c r="E700" i="1"/>
  <c r="D700" i="1"/>
  <c r="E699" i="1"/>
  <c r="D699" i="1"/>
  <c r="E698" i="1"/>
  <c r="D698" i="1"/>
  <c r="E697" i="1"/>
  <c r="D697" i="1"/>
  <c r="E696" i="1"/>
  <c r="D696" i="1"/>
  <c r="E695" i="1"/>
  <c r="D695" i="1"/>
  <c r="E694" i="1"/>
  <c r="D694" i="1"/>
  <c r="E693" i="1"/>
  <c r="D693" i="1"/>
  <c r="E692" i="1"/>
  <c r="D692" i="1"/>
  <c r="E691" i="1"/>
  <c r="D691" i="1"/>
  <c r="E690" i="1"/>
  <c r="D690" i="1"/>
  <c r="E689" i="1"/>
  <c r="D689" i="1"/>
  <c r="E688" i="1"/>
  <c r="D688" i="1"/>
  <c r="E687" i="1"/>
  <c r="D687" i="1"/>
  <c r="E686" i="1"/>
  <c r="D686" i="1"/>
  <c r="E685" i="1"/>
  <c r="D685" i="1"/>
  <c r="E684" i="1"/>
  <c r="D684" i="1"/>
  <c r="E683" i="1"/>
  <c r="D683" i="1"/>
  <c r="E682" i="1"/>
  <c r="D682" i="1"/>
  <c r="E681" i="1"/>
  <c r="D681" i="1"/>
  <c r="E680" i="1"/>
  <c r="D680" i="1"/>
  <c r="F679" i="1"/>
  <c r="E679" i="1"/>
  <c r="D679" i="1"/>
  <c r="F678" i="1"/>
  <c r="E678" i="1"/>
  <c r="D678" i="1"/>
  <c r="E677" i="1"/>
  <c r="D677" i="1"/>
  <c r="E676" i="1"/>
  <c r="D676" i="1"/>
  <c r="E675" i="1"/>
  <c r="D675" i="1"/>
  <c r="E674" i="1"/>
  <c r="D674" i="1"/>
  <c r="E673" i="1"/>
  <c r="D673" i="1"/>
  <c r="E672" i="1"/>
  <c r="D672" i="1"/>
  <c r="E671" i="1"/>
  <c r="D671" i="1"/>
  <c r="E670" i="1"/>
  <c r="D670" i="1"/>
  <c r="E669" i="1"/>
  <c r="D669" i="1"/>
  <c r="E668" i="1"/>
  <c r="D668" i="1"/>
  <c r="E667" i="1"/>
  <c r="D667" i="1"/>
  <c r="E666" i="1"/>
  <c r="D666" i="1"/>
  <c r="E665" i="1"/>
  <c r="D665" i="1"/>
  <c r="E664" i="1"/>
  <c r="D664" i="1"/>
  <c r="E663" i="1"/>
  <c r="D663" i="1"/>
  <c r="E662" i="1"/>
  <c r="D662" i="1"/>
  <c r="E661" i="1"/>
  <c r="D661" i="1"/>
  <c r="E660" i="1"/>
  <c r="D660" i="1"/>
  <c r="E659" i="1"/>
  <c r="D659" i="1"/>
  <c r="E658" i="1"/>
  <c r="D658" i="1"/>
  <c r="E657" i="1"/>
  <c r="D657" i="1"/>
  <c r="E656" i="1"/>
  <c r="D656" i="1"/>
  <c r="E655" i="1"/>
  <c r="D655" i="1"/>
  <c r="E654" i="1"/>
  <c r="D654" i="1"/>
  <c r="E653" i="1"/>
  <c r="D653" i="1"/>
  <c r="E652" i="1"/>
  <c r="D652" i="1"/>
  <c r="E651" i="1"/>
  <c r="D651" i="1"/>
  <c r="E650" i="1"/>
  <c r="D650" i="1"/>
  <c r="E649" i="1"/>
  <c r="D649" i="1"/>
  <c r="E648" i="1"/>
  <c r="D648" i="1"/>
  <c r="E647" i="1"/>
  <c r="D647" i="1"/>
  <c r="E646" i="1"/>
  <c r="D646" i="1"/>
  <c r="E645" i="1"/>
  <c r="D645" i="1"/>
  <c r="E644" i="1"/>
  <c r="D644" i="1"/>
  <c r="E643" i="1"/>
  <c r="D643" i="1"/>
  <c r="E642" i="1"/>
  <c r="D642" i="1"/>
  <c r="E641" i="1"/>
  <c r="D641" i="1"/>
  <c r="E640" i="1"/>
  <c r="D640" i="1"/>
  <c r="E639" i="1"/>
  <c r="D639" i="1"/>
  <c r="E638" i="1"/>
  <c r="D638" i="1"/>
  <c r="E637" i="1"/>
  <c r="D637" i="1"/>
  <c r="E636" i="1"/>
  <c r="D636" i="1"/>
  <c r="E635" i="1"/>
  <c r="D635" i="1"/>
  <c r="E634" i="1"/>
  <c r="D634" i="1"/>
  <c r="E633" i="1"/>
  <c r="D633" i="1"/>
  <c r="E632" i="1"/>
  <c r="D632" i="1"/>
  <c r="E631" i="1"/>
  <c r="D631" i="1"/>
  <c r="E630" i="1"/>
  <c r="D630" i="1"/>
  <c r="E629" i="1"/>
  <c r="D629" i="1"/>
  <c r="E628" i="1"/>
  <c r="D628" i="1"/>
  <c r="E627" i="1"/>
  <c r="D627" i="1"/>
  <c r="E626" i="1"/>
  <c r="D626" i="1"/>
  <c r="E625" i="1"/>
  <c r="D625" i="1"/>
  <c r="E624" i="1"/>
  <c r="D624" i="1"/>
  <c r="E623" i="1"/>
  <c r="D623" i="1"/>
  <c r="E622" i="1"/>
  <c r="D622" i="1"/>
  <c r="E621" i="1"/>
  <c r="D621" i="1"/>
  <c r="E620" i="1"/>
  <c r="D620" i="1"/>
  <c r="E619" i="1"/>
  <c r="D619" i="1"/>
  <c r="E618" i="1"/>
  <c r="D618" i="1"/>
  <c r="E617" i="1"/>
  <c r="D617" i="1"/>
  <c r="E616" i="1"/>
  <c r="D616" i="1"/>
  <c r="E615" i="1"/>
  <c r="D615" i="1"/>
  <c r="E614" i="1"/>
  <c r="D614" i="1"/>
  <c r="E613" i="1"/>
  <c r="D613" i="1"/>
  <c r="E612" i="1"/>
  <c r="D612" i="1"/>
  <c r="E611" i="1"/>
  <c r="D611" i="1"/>
  <c r="E610" i="1"/>
  <c r="D610" i="1"/>
  <c r="E609" i="1"/>
  <c r="D609" i="1"/>
  <c r="E608" i="1"/>
  <c r="D608" i="1"/>
  <c r="E607" i="1"/>
  <c r="D607" i="1"/>
  <c r="E606" i="1"/>
  <c r="D606" i="1"/>
  <c r="E605" i="1"/>
  <c r="D605" i="1"/>
  <c r="E604" i="1"/>
  <c r="D604" i="1"/>
  <c r="E603" i="1"/>
  <c r="D603" i="1"/>
  <c r="E602" i="1"/>
  <c r="D602" i="1"/>
  <c r="E601" i="1"/>
  <c r="D601" i="1"/>
  <c r="E600" i="1"/>
  <c r="D600" i="1"/>
  <c r="E599" i="1"/>
  <c r="D599" i="1"/>
  <c r="E598" i="1"/>
  <c r="D598" i="1"/>
  <c r="E597" i="1"/>
  <c r="D597" i="1"/>
  <c r="F596" i="1"/>
  <c r="E596" i="1"/>
  <c r="D596" i="1"/>
  <c r="F595" i="1"/>
  <c r="E595" i="1"/>
  <c r="D595" i="1"/>
  <c r="E594" i="1"/>
  <c r="D594" i="1"/>
  <c r="F593" i="1"/>
  <c r="E593" i="1"/>
  <c r="D593" i="1"/>
  <c r="F592" i="1"/>
  <c r="E592" i="1"/>
  <c r="D592" i="1"/>
  <c r="F591" i="1"/>
  <c r="E591" i="1"/>
  <c r="D591" i="1"/>
  <c r="E590" i="1"/>
  <c r="D590" i="1"/>
  <c r="E589" i="1"/>
  <c r="D589" i="1"/>
  <c r="E588" i="1"/>
  <c r="D588" i="1"/>
  <c r="E587" i="1"/>
  <c r="D587" i="1"/>
  <c r="E586" i="1"/>
  <c r="D586" i="1"/>
  <c r="E585" i="1"/>
  <c r="D585" i="1"/>
  <c r="F584" i="1"/>
  <c r="E584" i="1"/>
  <c r="D584" i="1"/>
  <c r="F583" i="1"/>
  <c r="E583" i="1"/>
  <c r="D583" i="1"/>
  <c r="E582" i="1"/>
  <c r="D582" i="1"/>
  <c r="E581" i="1"/>
  <c r="D581" i="1"/>
  <c r="E580" i="1"/>
  <c r="D580" i="1"/>
  <c r="E579" i="1"/>
  <c r="D579" i="1"/>
  <c r="E578" i="1"/>
  <c r="D578" i="1"/>
  <c r="E577" i="1"/>
  <c r="D577" i="1"/>
  <c r="E576" i="1"/>
  <c r="D576" i="1"/>
  <c r="E575" i="1"/>
  <c r="D575" i="1"/>
  <c r="E574" i="1"/>
  <c r="D574" i="1"/>
  <c r="E573" i="1"/>
  <c r="D573" i="1"/>
  <c r="E572" i="1"/>
  <c r="D572" i="1"/>
  <c r="F571" i="1"/>
  <c r="E571" i="1"/>
  <c r="D571" i="1"/>
  <c r="F570" i="1"/>
  <c r="E570" i="1"/>
  <c r="D570" i="1"/>
  <c r="E569" i="1"/>
  <c r="D569" i="1"/>
  <c r="E568" i="1"/>
  <c r="D568" i="1"/>
  <c r="E567" i="1"/>
  <c r="D567" i="1"/>
  <c r="E566" i="1"/>
  <c r="D566" i="1"/>
  <c r="E565" i="1"/>
  <c r="D565" i="1"/>
  <c r="E564" i="1"/>
  <c r="D564" i="1"/>
  <c r="E563" i="1"/>
  <c r="D563" i="1"/>
  <c r="E562" i="1"/>
  <c r="D562" i="1"/>
  <c r="E561" i="1"/>
  <c r="D561" i="1"/>
  <c r="E560" i="1"/>
  <c r="D560" i="1"/>
  <c r="E559" i="1"/>
  <c r="D559" i="1"/>
  <c r="E558" i="1"/>
  <c r="D558" i="1"/>
  <c r="E557" i="1"/>
  <c r="D557" i="1"/>
  <c r="E556" i="1"/>
  <c r="D556" i="1"/>
  <c r="E555" i="1"/>
  <c r="D555" i="1"/>
  <c r="E554" i="1"/>
  <c r="D554" i="1"/>
  <c r="E553" i="1"/>
  <c r="D553" i="1"/>
  <c r="E552" i="1"/>
  <c r="D552" i="1"/>
  <c r="E551" i="1"/>
  <c r="D551" i="1"/>
  <c r="E550" i="1"/>
  <c r="D550" i="1"/>
  <c r="E549" i="1"/>
  <c r="D549" i="1"/>
  <c r="E548" i="1"/>
  <c r="D548" i="1"/>
  <c r="E547" i="1"/>
  <c r="D547" i="1"/>
  <c r="E546" i="1"/>
  <c r="D546" i="1"/>
  <c r="E545" i="1"/>
  <c r="D545" i="1"/>
  <c r="E544" i="1"/>
  <c r="D544" i="1"/>
  <c r="E543" i="1"/>
  <c r="D543" i="1"/>
  <c r="E542" i="1"/>
  <c r="D542" i="1"/>
  <c r="E541" i="1"/>
  <c r="D541" i="1"/>
  <c r="E540" i="1"/>
  <c r="D540" i="1"/>
  <c r="E539" i="1"/>
  <c r="D539" i="1"/>
  <c r="E538" i="1"/>
  <c r="D538" i="1"/>
  <c r="E537" i="1"/>
  <c r="D537" i="1"/>
  <c r="E536" i="1"/>
  <c r="D536" i="1"/>
  <c r="E535" i="1"/>
  <c r="D535" i="1"/>
  <c r="E534" i="1"/>
  <c r="D534" i="1"/>
  <c r="E533" i="1"/>
  <c r="D533" i="1"/>
  <c r="E532" i="1"/>
  <c r="D532" i="1"/>
  <c r="E531" i="1"/>
  <c r="D531" i="1"/>
  <c r="E530" i="1"/>
  <c r="D530" i="1"/>
  <c r="E529" i="1"/>
  <c r="D529" i="1"/>
  <c r="E528" i="1"/>
  <c r="D528" i="1"/>
  <c r="E527" i="1"/>
  <c r="D527" i="1"/>
  <c r="E526" i="1"/>
  <c r="D526" i="1"/>
  <c r="E525" i="1"/>
  <c r="D525" i="1"/>
  <c r="E524" i="1"/>
  <c r="D524" i="1"/>
  <c r="E523" i="1"/>
  <c r="D523" i="1"/>
  <c r="E522" i="1"/>
  <c r="D522" i="1"/>
  <c r="E521" i="1"/>
  <c r="D521" i="1"/>
  <c r="E520" i="1"/>
  <c r="D520" i="1"/>
  <c r="E519" i="1"/>
  <c r="D519" i="1"/>
  <c r="E518" i="1"/>
  <c r="D518" i="1"/>
  <c r="E517" i="1"/>
  <c r="D517" i="1"/>
  <c r="E516" i="1"/>
  <c r="D516" i="1"/>
  <c r="E515" i="1"/>
  <c r="D515" i="1"/>
  <c r="E514" i="1"/>
  <c r="D514" i="1"/>
  <c r="E513" i="1"/>
  <c r="D513" i="1"/>
  <c r="E512" i="1"/>
  <c r="D512" i="1"/>
  <c r="E511" i="1"/>
  <c r="D511" i="1"/>
  <c r="E510" i="1"/>
  <c r="D510" i="1"/>
  <c r="E509" i="1"/>
  <c r="D509" i="1"/>
  <c r="E508" i="1"/>
  <c r="D508" i="1"/>
  <c r="E507" i="1"/>
  <c r="D507" i="1"/>
  <c r="E506" i="1"/>
  <c r="D506" i="1"/>
  <c r="E505" i="1"/>
  <c r="D505" i="1"/>
  <c r="E504" i="1"/>
  <c r="D504" i="1"/>
  <c r="F503" i="1"/>
  <c r="E503" i="1"/>
  <c r="D503" i="1"/>
  <c r="E502" i="1"/>
  <c r="D502" i="1"/>
  <c r="E501" i="1"/>
  <c r="D501" i="1"/>
  <c r="E500" i="1"/>
  <c r="D500" i="1"/>
  <c r="E499" i="1"/>
  <c r="D499" i="1"/>
  <c r="E498" i="1"/>
  <c r="D498" i="1"/>
  <c r="E497" i="1"/>
  <c r="D497" i="1"/>
  <c r="E496" i="1"/>
  <c r="D496" i="1"/>
  <c r="E495" i="1"/>
  <c r="D495" i="1"/>
  <c r="E494" i="1"/>
  <c r="D494" i="1"/>
  <c r="E493" i="1"/>
  <c r="D493" i="1"/>
  <c r="F492" i="1"/>
  <c r="E492" i="1"/>
  <c r="D492" i="1"/>
  <c r="F491" i="1"/>
  <c r="E491" i="1"/>
  <c r="D491" i="1"/>
  <c r="F490" i="1"/>
  <c r="E490" i="1"/>
  <c r="D490" i="1"/>
  <c r="F489" i="1"/>
  <c r="E489" i="1"/>
  <c r="D489" i="1"/>
  <c r="F488" i="1"/>
  <c r="E488" i="1"/>
  <c r="D488" i="1"/>
  <c r="F487" i="1"/>
  <c r="E487" i="1"/>
  <c r="D487" i="1"/>
  <c r="F486" i="1"/>
  <c r="E486" i="1"/>
  <c r="D486" i="1"/>
  <c r="F485" i="1"/>
  <c r="E485" i="1"/>
  <c r="D485" i="1"/>
  <c r="F484" i="1"/>
  <c r="E484" i="1"/>
  <c r="D484" i="1"/>
  <c r="F483" i="1"/>
  <c r="E483" i="1"/>
  <c r="D483" i="1"/>
  <c r="F482" i="1"/>
  <c r="E482" i="1"/>
  <c r="D482" i="1"/>
  <c r="F481" i="1"/>
  <c r="E481" i="1"/>
  <c r="D481" i="1"/>
  <c r="F480" i="1"/>
  <c r="E480" i="1"/>
  <c r="D480" i="1"/>
  <c r="F479" i="1"/>
  <c r="E479" i="1"/>
  <c r="D479" i="1"/>
  <c r="F478" i="1"/>
  <c r="E478" i="1"/>
  <c r="D478" i="1"/>
  <c r="F477" i="1"/>
  <c r="E477" i="1"/>
  <c r="D477" i="1"/>
  <c r="F476" i="1"/>
  <c r="E476" i="1"/>
  <c r="D476" i="1"/>
  <c r="F475" i="1"/>
  <c r="E475" i="1"/>
  <c r="D475" i="1"/>
  <c r="E474" i="1"/>
  <c r="D474" i="1"/>
  <c r="E473" i="1"/>
  <c r="D473" i="1"/>
  <c r="E472" i="1"/>
  <c r="D472" i="1"/>
  <c r="E471" i="1"/>
  <c r="D471" i="1"/>
  <c r="E470" i="1"/>
  <c r="D470" i="1"/>
  <c r="E469" i="1"/>
  <c r="D469" i="1"/>
  <c r="E468" i="1"/>
  <c r="D468" i="1"/>
  <c r="E467" i="1"/>
  <c r="D467" i="1"/>
  <c r="E466" i="1"/>
  <c r="D466" i="1"/>
  <c r="E465" i="1"/>
  <c r="D465" i="1"/>
  <c r="E464" i="1"/>
  <c r="D464" i="1"/>
  <c r="E463" i="1"/>
  <c r="D463" i="1"/>
  <c r="E462" i="1"/>
  <c r="D462" i="1"/>
  <c r="E461" i="1"/>
  <c r="D461" i="1"/>
  <c r="E460" i="1"/>
  <c r="D460" i="1"/>
  <c r="E459" i="1"/>
  <c r="D459" i="1"/>
  <c r="E458" i="1"/>
  <c r="D458" i="1"/>
  <c r="E457" i="1"/>
  <c r="D457" i="1"/>
  <c r="E456" i="1"/>
  <c r="D456" i="1"/>
  <c r="E455" i="1"/>
  <c r="D455" i="1"/>
  <c r="E454" i="1"/>
  <c r="D454" i="1"/>
  <c r="E453" i="1"/>
  <c r="D453" i="1"/>
  <c r="E452" i="1"/>
  <c r="D452" i="1"/>
  <c r="E451" i="1"/>
  <c r="D451" i="1"/>
  <c r="E450" i="1"/>
  <c r="D450" i="1"/>
  <c r="E449" i="1"/>
  <c r="D449" i="1"/>
  <c r="F448" i="1"/>
  <c r="E448" i="1"/>
  <c r="D448" i="1"/>
  <c r="E447" i="1"/>
  <c r="D447" i="1"/>
  <c r="E446" i="1"/>
  <c r="D446" i="1"/>
  <c r="E445" i="1"/>
  <c r="D445" i="1"/>
  <c r="E444" i="1"/>
  <c r="D444" i="1"/>
  <c r="E443" i="1"/>
  <c r="D443" i="1"/>
  <c r="E442" i="1"/>
  <c r="D442" i="1"/>
  <c r="E441" i="1"/>
  <c r="D441" i="1"/>
  <c r="E440" i="1"/>
  <c r="D440" i="1"/>
  <c r="E439" i="1"/>
  <c r="D439" i="1"/>
  <c r="E438" i="1"/>
  <c r="D438" i="1"/>
  <c r="E437" i="1"/>
  <c r="D437" i="1"/>
  <c r="E436" i="1"/>
  <c r="D436" i="1"/>
  <c r="E435" i="1"/>
  <c r="D435" i="1"/>
  <c r="E434" i="1"/>
  <c r="D434" i="1"/>
  <c r="E433" i="1"/>
  <c r="D433" i="1"/>
  <c r="E432" i="1"/>
  <c r="D432" i="1"/>
  <c r="E431" i="1"/>
  <c r="D431" i="1"/>
  <c r="E430" i="1"/>
  <c r="D430" i="1"/>
  <c r="E429" i="1"/>
  <c r="D429" i="1"/>
  <c r="E428" i="1"/>
  <c r="D428" i="1"/>
  <c r="E427" i="1"/>
  <c r="D427" i="1"/>
  <c r="E426" i="1"/>
  <c r="D426" i="1"/>
  <c r="E425" i="1"/>
  <c r="D425" i="1"/>
  <c r="E424" i="1"/>
  <c r="D424" i="1"/>
  <c r="F423" i="1"/>
  <c r="E423" i="1"/>
  <c r="D423" i="1"/>
  <c r="E422" i="1"/>
  <c r="D422" i="1"/>
  <c r="E421" i="1"/>
  <c r="D421" i="1"/>
  <c r="E420" i="1"/>
  <c r="D420" i="1"/>
  <c r="E419" i="1"/>
  <c r="D419" i="1"/>
  <c r="E418" i="1"/>
  <c r="D418" i="1"/>
  <c r="E417" i="1"/>
  <c r="D417" i="1"/>
  <c r="E416" i="1"/>
  <c r="D416" i="1"/>
  <c r="E415" i="1"/>
  <c r="D415" i="1"/>
  <c r="E414" i="1"/>
  <c r="D414" i="1"/>
  <c r="E413" i="1"/>
  <c r="D413" i="1"/>
  <c r="E412" i="1"/>
  <c r="D412" i="1"/>
  <c r="E411" i="1"/>
  <c r="D411" i="1"/>
  <c r="E410" i="1"/>
  <c r="D410" i="1"/>
  <c r="E409" i="1"/>
  <c r="D409" i="1"/>
  <c r="E408" i="1"/>
  <c r="D408" i="1"/>
  <c r="E407" i="1"/>
  <c r="D407" i="1"/>
  <c r="E406" i="1"/>
  <c r="D406" i="1"/>
  <c r="E405" i="1"/>
  <c r="D405" i="1"/>
  <c r="E404" i="1"/>
  <c r="D404" i="1"/>
  <c r="E403" i="1"/>
  <c r="D403" i="1"/>
  <c r="E402" i="1"/>
  <c r="D402" i="1"/>
  <c r="E401" i="1"/>
  <c r="D401" i="1"/>
  <c r="F400" i="1"/>
  <c r="E400" i="1"/>
  <c r="D400" i="1"/>
  <c r="E399" i="1"/>
  <c r="D399" i="1"/>
  <c r="E398" i="1"/>
  <c r="D398" i="1"/>
  <c r="E397" i="1"/>
  <c r="D397" i="1"/>
  <c r="E396" i="1"/>
  <c r="D396" i="1"/>
  <c r="E395" i="1"/>
  <c r="D395" i="1"/>
  <c r="E394" i="1"/>
  <c r="D394" i="1"/>
  <c r="E393" i="1"/>
  <c r="D393" i="1"/>
  <c r="E392" i="1"/>
  <c r="D392" i="1"/>
  <c r="E391" i="1"/>
  <c r="D391" i="1"/>
  <c r="E390" i="1"/>
  <c r="D390" i="1"/>
  <c r="E389" i="1"/>
  <c r="D389" i="1"/>
  <c r="E388" i="1"/>
  <c r="D388" i="1"/>
  <c r="E387" i="1"/>
  <c r="D387" i="1"/>
  <c r="E386" i="1"/>
  <c r="D386" i="1"/>
  <c r="E385" i="1"/>
  <c r="D385" i="1"/>
  <c r="E384" i="1"/>
  <c r="D384" i="1"/>
  <c r="E383" i="1"/>
  <c r="D383" i="1"/>
  <c r="E382" i="1"/>
  <c r="D382" i="1"/>
  <c r="E381" i="1"/>
  <c r="D381" i="1"/>
  <c r="E380" i="1"/>
  <c r="D380" i="1"/>
  <c r="E379" i="1"/>
  <c r="D379" i="1"/>
  <c r="E378" i="1"/>
  <c r="D378" i="1"/>
  <c r="E377" i="1"/>
  <c r="D377" i="1"/>
  <c r="E376" i="1"/>
  <c r="D376" i="1"/>
  <c r="E375" i="1"/>
  <c r="D375" i="1"/>
  <c r="E374" i="1"/>
  <c r="D374" i="1"/>
  <c r="E373" i="1"/>
  <c r="D373" i="1"/>
  <c r="E372" i="1"/>
  <c r="D372" i="1"/>
  <c r="F371" i="1"/>
  <c r="E371" i="1"/>
  <c r="D371" i="1"/>
  <c r="F370" i="1"/>
  <c r="E370" i="1"/>
  <c r="D370" i="1"/>
  <c r="F369" i="1"/>
  <c r="E369" i="1"/>
  <c r="D369" i="1"/>
  <c r="F368" i="1"/>
  <c r="E368" i="1"/>
  <c r="D368" i="1"/>
  <c r="E367" i="1"/>
  <c r="D367" i="1"/>
  <c r="E366" i="1"/>
  <c r="D366" i="1"/>
  <c r="E365" i="1"/>
  <c r="D365" i="1"/>
  <c r="E364" i="1"/>
  <c r="D364" i="1"/>
  <c r="E363" i="1"/>
  <c r="D363" i="1"/>
  <c r="E362" i="1"/>
  <c r="D362" i="1"/>
  <c r="E361" i="1"/>
  <c r="D361" i="1"/>
  <c r="E360" i="1"/>
  <c r="D360" i="1"/>
  <c r="E359" i="1"/>
  <c r="D359" i="1"/>
  <c r="E358" i="1"/>
  <c r="D358" i="1"/>
  <c r="E357" i="1"/>
  <c r="D357" i="1"/>
  <c r="F356" i="1"/>
  <c r="E356" i="1"/>
  <c r="D356" i="1"/>
  <c r="F355" i="1"/>
  <c r="E355" i="1"/>
  <c r="D355" i="1"/>
  <c r="E354" i="1"/>
  <c r="D354" i="1"/>
  <c r="E353" i="1"/>
  <c r="D353" i="1"/>
  <c r="E352" i="1"/>
  <c r="D352" i="1"/>
  <c r="E351" i="1"/>
  <c r="D351" i="1"/>
  <c r="E350" i="1"/>
  <c r="D350" i="1"/>
  <c r="E349" i="1"/>
  <c r="D349" i="1"/>
  <c r="E348" i="1"/>
  <c r="D348" i="1"/>
  <c r="E347" i="1"/>
  <c r="D347" i="1"/>
  <c r="E346" i="1"/>
  <c r="D346" i="1"/>
  <c r="E345" i="1"/>
  <c r="D345" i="1"/>
  <c r="E344" i="1"/>
  <c r="D344" i="1"/>
  <c r="E343" i="1"/>
  <c r="D343" i="1"/>
  <c r="E342" i="1"/>
  <c r="D342" i="1"/>
  <c r="E341" i="1"/>
  <c r="D341" i="1"/>
  <c r="E340" i="1"/>
  <c r="D340" i="1"/>
  <c r="E339" i="1"/>
  <c r="D339" i="1"/>
  <c r="E338" i="1"/>
  <c r="D338" i="1"/>
  <c r="E337" i="1"/>
  <c r="D337" i="1"/>
  <c r="E336" i="1"/>
  <c r="D336" i="1"/>
  <c r="E335" i="1"/>
  <c r="D335" i="1"/>
  <c r="E334" i="1"/>
  <c r="D334" i="1"/>
  <c r="E333" i="1"/>
  <c r="D333" i="1"/>
  <c r="E332" i="1"/>
  <c r="D332" i="1"/>
  <c r="E331" i="1"/>
  <c r="D331" i="1"/>
  <c r="E330" i="1"/>
  <c r="D330" i="1"/>
  <c r="E329" i="1"/>
  <c r="D329" i="1"/>
  <c r="E328" i="1"/>
  <c r="D328" i="1"/>
  <c r="E327" i="1"/>
  <c r="D327" i="1"/>
  <c r="E326" i="1"/>
  <c r="D326" i="1"/>
  <c r="E325" i="1"/>
  <c r="D325" i="1"/>
  <c r="E324" i="1"/>
  <c r="D324" i="1"/>
  <c r="E323" i="1"/>
  <c r="D323" i="1"/>
  <c r="E322" i="1"/>
  <c r="D322" i="1"/>
  <c r="E321" i="1"/>
  <c r="D321" i="1"/>
  <c r="E320" i="1"/>
  <c r="D320" i="1"/>
  <c r="E319" i="1"/>
  <c r="D319" i="1"/>
  <c r="E318" i="1"/>
  <c r="D318" i="1"/>
  <c r="E317" i="1"/>
  <c r="D317" i="1"/>
  <c r="E316" i="1"/>
  <c r="D316" i="1"/>
  <c r="E315" i="1"/>
  <c r="D315" i="1"/>
  <c r="E314" i="1"/>
  <c r="D314" i="1"/>
  <c r="E313" i="1"/>
  <c r="D313" i="1"/>
  <c r="E312" i="1"/>
  <c r="D312" i="1"/>
  <c r="E311" i="1"/>
  <c r="D311" i="1"/>
  <c r="E310" i="1"/>
  <c r="D310" i="1"/>
  <c r="E309" i="1"/>
  <c r="D309" i="1"/>
  <c r="E308" i="1"/>
  <c r="D308" i="1"/>
  <c r="E307" i="1"/>
  <c r="D307" i="1"/>
  <c r="E306" i="1"/>
  <c r="D306" i="1"/>
  <c r="E305" i="1"/>
  <c r="D305" i="1"/>
  <c r="E304" i="1"/>
  <c r="D304" i="1"/>
  <c r="E303" i="1"/>
  <c r="D303" i="1"/>
  <c r="E302" i="1"/>
  <c r="D302" i="1"/>
  <c r="E301" i="1"/>
  <c r="D301" i="1"/>
  <c r="E300" i="1"/>
  <c r="D300" i="1"/>
  <c r="E299" i="1"/>
  <c r="D299" i="1"/>
  <c r="E298" i="1"/>
  <c r="D298" i="1"/>
  <c r="F297" i="1"/>
  <c r="E297" i="1"/>
  <c r="D297" i="1"/>
  <c r="F296" i="1"/>
  <c r="E296" i="1"/>
  <c r="D296" i="1"/>
  <c r="F295" i="1"/>
  <c r="E295" i="1"/>
  <c r="D295" i="1"/>
  <c r="E294" i="1"/>
  <c r="D294" i="1"/>
  <c r="E293" i="1"/>
  <c r="D293" i="1"/>
  <c r="E292" i="1"/>
  <c r="D292" i="1"/>
  <c r="E291" i="1"/>
  <c r="D291" i="1"/>
  <c r="E290" i="1"/>
  <c r="D290" i="1"/>
  <c r="E289" i="1"/>
  <c r="D289" i="1"/>
  <c r="E288" i="1"/>
  <c r="D288" i="1"/>
  <c r="E287" i="1"/>
  <c r="D287" i="1"/>
  <c r="E286" i="1"/>
  <c r="D286" i="1"/>
  <c r="E285" i="1"/>
  <c r="D285" i="1"/>
  <c r="E284" i="1"/>
  <c r="D284" i="1"/>
  <c r="E283" i="1"/>
  <c r="D283" i="1"/>
  <c r="E282" i="1"/>
  <c r="D282" i="1"/>
  <c r="E281" i="1"/>
  <c r="D281" i="1"/>
  <c r="E280" i="1"/>
  <c r="D280" i="1"/>
  <c r="E279" i="1"/>
  <c r="D279" i="1"/>
  <c r="E278" i="1"/>
  <c r="D278" i="1"/>
  <c r="E277" i="1"/>
  <c r="D277" i="1"/>
  <c r="E276" i="1"/>
  <c r="D276" i="1"/>
  <c r="E275" i="1"/>
  <c r="D275" i="1"/>
  <c r="E274" i="1"/>
  <c r="D274" i="1"/>
  <c r="F273" i="1"/>
  <c r="E273" i="1"/>
  <c r="D273" i="1"/>
  <c r="F272" i="1"/>
  <c r="E272" i="1"/>
  <c r="D272" i="1"/>
  <c r="F271" i="1"/>
  <c r="E271" i="1"/>
  <c r="D271" i="1"/>
  <c r="E270" i="1"/>
  <c r="D270" i="1"/>
  <c r="E269" i="1"/>
  <c r="D269" i="1"/>
  <c r="E268" i="1"/>
  <c r="D268" i="1"/>
  <c r="E267" i="1"/>
  <c r="D267" i="1"/>
  <c r="E266" i="1"/>
  <c r="D266" i="1"/>
  <c r="E265" i="1"/>
  <c r="D265" i="1"/>
  <c r="E264" i="1"/>
  <c r="D264" i="1"/>
  <c r="E263" i="1"/>
  <c r="D263" i="1"/>
  <c r="E262" i="1"/>
  <c r="D262" i="1"/>
  <c r="E261" i="1"/>
  <c r="D261" i="1"/>
  <c r="E260" i="1"/>
  <c r="D260" i="1"/>
  <c r="E259" i="1"/>
  <c r="D259" i="1"/>
  <c r="E258" i="1"/>
  <c r="D258" i="1"/>
  <c r="E257" i="1"/>
  <c r="D257" i="1"/>
  <c r="E256" i="1"/>
  <c r="D256" i="1"/>
  <c r="E255" i="1"/>
  <c r="D255" i="1"/>
  <c r="E254" i="1"/>
  <c r="D254" i="1"/>
  <c r="F253" i="1"/>
  <c r="E253" i="1"/>
  <c r="D253" i="1"/>
  <c r="F252" i="1"/>
  <c r="E252" i="1"/>
  <c r="D252" i="1"/>
  <c r="F251" i="1"/>
  <c r="E251" i="1"/>
  <c r="D251" i="1"/>
  <c r="E250" i="1"/>
  <c r="D250" i="1"/>
  <c r="E249" i="1"/>
  <c r="D249" i="1"/>
  <c r="E248" i="1"/>
  <c r="D248" i="1"/>
  <c r="E247" i="1"/>
  <c r="D247" i="1"/>
  <c r="E246" i="1"/>
  <c r="D246" i="1"/>
  <c r="E245" i="1"/>
  <c r="D245" i="1"/>
  <c r="E244" i="1"/>
  <c r="D244" i="1"/>
  <c r="E243" i="1"/>
  <c r="D243" i="1"/>
  <c r="E242" i="1"/>
  <c r="D242" i="1"/>
  <c r="E241" i="1"/>
  <c r="D241" i="1"/>
  <c r="E240" i="1"/>
  <c r="D240" i="1"/>
  <c r="E239" i="1"/>
  <c r="D239" i="1"/>
  <c r="E238" i="1"/>
  <c r="D238" i="1"/>
  <c r="E237" i="1"/>
  <c r="D237" i="1"/>
  <c r="E236" i="1"/>
  <c r="D236" i="1"/>
  <c r="E235" i="1"/>
  <c r="D235" i="1"/>
  <c r="E234" i="1"/>
  <c r="D234" i="1"/>
  <c r="E233" i="1"/>
  <c r="D233" i="1"/>
  <c r="E232" i="1"/>
  <c r="D232" i="1"/>
  <c r="E231" i="1"/>
  <c r="D231" i="1"/>
  <c r="E230" i="1"/>
  <c r="D230" i="1"/>
  <c r="E229" i="1"/>
  <c r="D229" i="1"/>
  <c r="E228" i="1"/>
  <c r="D228" i="1"/>
  <c r="E227" i="1"/>
  <c r="D227" i="1"/>
  <c r="E226" i="1"/>
  <c r="D226" i="1"/>
  <c r="E225" i="1"/>
  <c r="D225" i="1"/>
  <c r="E224" i="1"/>
  <c r="D224" i="1"/>
  <c r="E223" i="1"/>
  <c r="D223" i="1"/>
  <c r="E222" i="1"/>
  <c r="D222" i="1"/>
  <c r="E221" i="1"/>
  <c r="D221" i="1"/>
  <c r="E220" i="1"/>
  <c r="D220" i="1"/>
  <c r="E219" i="1"/>
  <c r="D219" i="1"/>
  <c r="E218" i="1"/>
  <c r="D218" i="1"/>
  <c r="E217" i="1"/>
  <c r="D217" i="1"/>
  <c r="E216" i="1"/>
  <c r="D216" i="1"/>
  <c r="E215" i="1"/>
  <c r="D215" i="1"/>
  <c r="E214" i="1"/>
  <c r="D214" i="1"/>
  <c r="E213" i="1"/>
  <c r="D213" i="1"/>
  <c r="E212" i="1"/>
  <c r="D212" i="1"/>
  <c r="E211" i="1"/>
  <c r="D211" i="1"/>
  <c r="E210" i="1"/>
  <c r="D210" i="1"/>
  <c r="E209" i="1"/>
  <c r="D209" i="1"/>
  <c r="E208" i="1"/>
  <c r="D208" i="1"/>
  <c r="E207" i="1"/>
  <c r="D207" i="1"/>
  <c r="E206" i="1"/>
  <c r="D206" i="1"/>
  <c r="E205" i="1"/>
  <c r="D205" i="1"/>
  <c r="E204" i="1"/>
  <c r="D204" i="1"/>
  <c r="E203" i="1"/>
  <c r="D203" i="1"/>
  <c r="E202" i="1"/>
  <c r="D202" i="1"/>
  <c r="E201" i="1"/>
  <c r="D201" i="1"/>
  <c r="E200" i="1"/>
  <c r="D200" i="1"/>
  <c r="E199" i="1"/>
  <c r="D199" i="1"/>
  <c r="E198" i="1"/>
  <c r="D198" i="1"/>
  <c r="E197" i="1"/>
  <c r="D197" i="1"/>
  <c r="E196" i="1"/>
  <c r="D196" i="1"/>
  <c r="E195" i="1"/>
  <c r="D195" i="1"/>
  <c r="E194" i="1"/>
  <c r="D194" i="1"/>
  <c r="E193" i="1"/>
  <c r="D193" i="1"/>
  <c r="E192" i="1"/>
  <c r="D192" i="1"/>
  <c r="E191" i="1"/>
  <c r="D191" i="1"/>
  <c r="E190" i="1"/>
  <c r="D190" i="1"/>
  <c r="E189" i="1"/>
  <c r="D189" i="1"/>
  <c r="E188" i="1"/>
  <c r="D188" i="1"/>
  <c r="E187" i="1"/>
  <c r="D187" i="1"/>
  <c r="F186" i="1"/>
  <c r="E186" i="1"/>
  <c r="D186" i="1"/>
  <c r="E185" i="1"/>
  <c r="D185" i="1"/>
  <c r="E184" i="1"/>
  <c r="D184" i="1"/>
  <c r="E183" i="1"/>
  <c r="D183" i="1"/>
  <c r="E182" i="1"/>
  <c r="D182" i="1"/>
  <c r="E181" i="1"/>
  <c r="D181" i="1"/>
  <c r="E180" i="1"/>
  <c r="D180" i="1"/>
  <c r="E179" i="1"/>
  <c r="D179" i="1"/>
  <c r="E178" i="1"/>
  <c r="D178" i="1"/>
  <c r="E177" i="1"/>
  <c r="D177" i="1"/>
  <c r="E176" i="1"/>
  <c r="D176" i="1"/>
  <c r="E175" i="1"/>
  <c r="D175" i="1"/>
  <c r="E174" i="1"/>
  <c r="D174" i="1"/>
  <c r="E173" i="1"/>
  <c r="D173" i="1"/>
  <c r="E172" i="1"/>
  <c r="D172" i="1"/>
  <c r="E171" i="1"/>
  <c r="D171" i="1"/>
  <c r="E170" i="1"/>
  <c r="D170" i="1"/>
  <c r="E169" i="1"/>
  <c r="D169" i="1"/>
  <c r="E168" i="1"/>
  <c r="D168" i="1"/>
  <c r="E167" i="1"/>
  <c r="D167" i="1"/>
  <c r="E166" i="1"/>
  <c r="D166" i="1"/>
  <c r="E165" i="1"/>
  <c r="D165" i="1"/>
  <c r="E164" i="1"/>
  <c r="D164" i="1"/>
  <c r="F163" i="1"/>
  <c r="E163" i="1"/>
  <c r="D163" i="1"/>
  <c r="E162" i="1"/>
  <c r="D162" i="1"/>
  <c r="E161" i="1"/>
  <c r="D161" i="1"/>
  <c r="E160" i="1"/>
  <c r="D160" i="1"/>
  <c r="E159" i="1"/>
  <c r="D159" i="1"/>
  <c r="E158" i="1"/>
  <c r="D158" i="1"/>
  <c r="E157" i="1"/>
  <c r="D157" i="1"/>
  <c r="E156" i="1"/>
  <c r="D156" i="1"/>
  <c r="E155" i="1"/>
  <c r="D155" i="1"/>
  <c r="E154" i="1"/>
  <c r="D154" i="1"/>
  <c r="E153" i="1"/>
  <c r="D153" i="1"/>
  <c r="E152" i="1"/>
  <c r="D152" i="1"/>
  <c r="E151" i="1"/>
  <c r="D151" i="1"/>
  <c r="E150" i="1"/>
  <c r="D150" i="1"/>
  <c r="F149" i="1"/>
  <c r="E149" i="1"/>
  <c r="D149" i="1"/>
  <c r="E148" i="1"/>
  <c r="D148" i="1"/>
  <c r="E147" i="1"/>
  <c r="D147" i="1"/>
  <c r="E146" i="1"/>
  <c r="D146" i="1"/>
  <c r="E145" i="1"/>
  <c r="D145" i="1"/>
  <c r="E144" i="1"/>
  <c r="D144" i="1"/>
  <c r="E143" i="1"/>
  <c r="D143" i="1"/>
  <c r="E142" i="1"/>
  <c r="D142" i="1"/>
  <c r="E141" i="1"/>
  <c r="D141" i="1"/>
  <c r="E140" i="1"/>
  <c r="D140" i="1"/>
  <c r="E139" i="1"/>
  <c r="D139" i="1"/>
  <c r="E138" i="1"/>
  <c r="D138" i="1"/>
  <c r="E137" i="1"/>
  <c r="D137" i="1"/>
  <c r="E136" i="1"/>
  <c r="D136" i="1"/>
  <c r="E135" i="1"/>
  <c r="D135" i="1"/>
  <c r="E134" i="1"/>
  <c r="D134" i="1"/>
  <c r="F133" i="1"/>
  <c r="E133" i="1"/>
  <c r="D133" i="1"/>
  <c r="F132" i="1"/>
  <c r="E132" i="1"/>
  <c r="D132" i="1"/>
  <c r="F131" i="1"/>
  <c r="E131" i="1"/>
  <c r="D131" i="1"/>
  <c r="F130" i="1"/>
  <c r="E130" i="1"/>
  <c r="D130" i="1"/>
  <c r="F129" i="1"/>
  <c r="E129" i="1"/>
  <c r="D129" i="1"/>
  <c r="F128" i="1"/>
  <c r="E128" i="1"/>
  <c r="D128" i="1"/>
  <c r="F127" i="1"/>
  <c r="E127" i="1"/>
  <c r="D127" i="1"/>
  <c r="F126" i="1"/>
  <c r="E126" i="1"/>
  <c r="D126" i="1"/>
  <c r="F125" i="1"/>
  <c r="E125" i="1"/>
  <c r="D125" i="1"/>
  <c r="F124" i="1"/>
  <c r="E124" i="1"/>
  <c r="D124" i="1"/>
  <c r="F123" i="1"/>
  <c r="E123" i="1"/>
  <c r="D123" i="1"/>
  <c r="F122" i="1"/>
  <c r="E122" i="1"/>
  <c r="D122" i="1"/>
  <c r="F121" i="1"/>
  <c r="E121" i="1"/>
  <c r="D121" i="1"/>
  <c r="F120" i="1"/>
  <c r="E120" i="1"/>
  <c r="D120" i="1"/>
  <c r="F119" i="1"/>
  <c r="E119" i="1"/>
  <c r="D119" i="1"/>
  <c r="F118" i="1"/>
  <c r="E118" i="1"/>
  <c r="D118" i="1"/>
  <c r="F117" i="1"/>
  <c r="E117" i="1"/>
  <c r="D117" i="1"/>
  <c r="F116" i="1"/>
  <c r="E116" i="1"/>
  <c r="D116" i="1"/>
  <c r="E115" i="1"/>
  <c r="D115" i="1"/>
  <c r="E114" i="1"/>
  <c r="D114" i="1"/>
  <c r="E113" i="1"/>
  <c r="D113" i="1"/>
  <c r="F112" i="1"/>
  <c r="E112" i="1"/>
  <c r="D112" i="1"/>
  <c r="F111" i="1"/>
  <c r="E111" i="1"/>
  <c r="D111" i="1"/>
  <c r="F110" i="1"/>
  <c r="E110" i="1"/>
  <c r="D110" i="1"/>
  <c r="F109" i="1"/>
  <c r="E109" i="1"/>
  <c r="D109" i="1"/>
  <c r="F108" i="1"/>
  <c r="E108" i="1"/>
  <c r="D108" i="1"/>
  <c r="E107" i="1"/>
  <c r="D107" i="1"/>
  <c r="E106" i="1"/>
  <c r="D106" i="1"/>
  <c r="E105" i="1"/>
  <c r="D105" i="1"/>
  <c r="E104" i="1"/>
  <c r="D104" i="1"/>
  <c r="E103" i="1"/>
  <c r="D103" i="1"/>
  <c r="E102" i="1"/>
  <c r="D102" i="1"/>
  <c r="E101" i="1"/>
  <c r="D101" i="1"/>
  <c r="E100" i="1"/>
  <c r="D100" i="1"/>
  <c r="E99" i="1"/>
  <c r="D99" i="1"/>
  <c r="E98" i="1"/>
  <c r="D98" i="1"/>
  <c r="E97" i="1"/>
  <c r="D97" i="1"/>
  <c r="E96" i="1"/>
  <c r="D96" i="1"/>
  <c r="E95" i="1"/>
  <c r="D95" i="1"/>
  <c r="E94" i="1"/>
  <c r="D94" i="1"/>
  <c r="E93" i="1"/>
  <c r="D93" i="1"/>
  <c r="E92" i="1"/>
  <c r="D92" i="1"/>
  <c r="E91" i="1"/>
  <c r="D91" i="1"/>
  <c r="E90" i="1"/>
  <c r="D90" i="1"/>
  <c r="E89" i="1"/>
  <c r="D89" i="1"/>
  <c r="E88" i="1"/>
  <c r="D88" i="1"/>
  <c r="E87" i="1"/>
  <c r="D87" i="1"/>
  <c r="E86" i="1"/>
  <c r="D86" i="1"/>
  <c r="E85" i="1"/>
  <c r="D85" i="1"/>
  <c r="F84" i="1"/>
  <c r="E84" i="1"/>
  <c r="D84" i="1"/>
  <c r="E83" i="1"/>
  <c r="D83" i="1"/>
  <c r="E82" i="1"/>
  <c r="D82" i="1"/>
  <c r="E81" i="1"/>
  <c r="D81" i="1"/>
  <c r="F80" i="1"/>
  <c r="E80" i="1"/>
  <c r="D80" i="1"/>
  <c r="E79" i="1"/>
  <c r="D79" i="1"/>
  <c r="E78" i="1"/>
  <c r="D78" i="1"/>
  <c r="E77" i="1"/>
  <c r="D77" i="1"/>
  <c r="E76" i="1"/>
  <c r="D76" i="1"/>
  <c r="E75" i="1"/>
  <c r="D75" i="1"/>
  <c r="E74" i="1"/>
  <c r="D74" i="1"/>
  <c r="E73" i="1"/>
  <c r="D73" i="1"/>
  <c r="E72" i="1"/>
  <c r="D72" i="1"/>
  <c r="E71" i="1"/>
  <c r="D71" i="1"/>
  <c r="E70" i="1"/>
  <c r="D70" i="1"/>
  <c r="E69" i="1"/>
  <c r="D69" i="1"/>
  <c r="E68" i="1"/>
  <c r="D68" i="1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F46" i="1"/>
  <c r="E46" i="1"/>
  <c r="D46" i="1"/>
  <c r="F45" i="1"/>
  <c r="E45" i="1"/>
  <c r="D45" i="1"/>
  <c r="F44" i="1"/>
  <c r="E44" i="1"/>
  <c r="D44" i="1"/>
  <c r="F43" i="1"/>
  <c r="E43" i="1"/>
  <c r="D43" i="1"/>
  <c r="F42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F13" i="1"/>
  <c r="E13" i="1"/>
  <c r="D13" i="1"/>
  <c r="F12" i="1"/>
  <c r="E12" i="1"/>
  <c r="D12" i="1"/>
  <c r="E11" i="1"/>
  <c r="D11" i="1"/>
  <c r="F10" i="1"/>
  <c r="E10" i="1"/>
  <c r="D10" i="1"/>
</calcChain>
</file>

<file path=xl/sharedStrings.xml><?xml version="1.0" encoding="utf-8"?>
<sst xmlns="http://schemas.openxmlformats.org/spreadsheetml/2006/main" count="4758" uniqueCount="40">
  <si>
    <t xml:space="preserve">DATI SUI PAGAMENTI </t>
  </si>
  <si>
    <t>(Trasparenza nell'utilizzo del Servizio Sanitario Nazionale - art. 41 c. 1 bis D. Lgs. 14 marzo 2013, n. 33 introdotto dall'art. 33 D. Lgs. 25 maggio 2016, n. 97)</t>
  </si>
  <si>
    <t>Periodo: IV trimestre 2018 - aggiornamento al 29/01/2019</t>
  </si>
  <si>
    <t>Progressivo</t>
  </si>
  <si>
    <t>Data pagamento</t>
  </si>
  <si>
    <t>Categoria</t>
  </si>
  <si>
    <t>Tipologia di lavoro/bene/servizio</t>
  </si>
  <si>
    <t>Beneficiario</t>
  </si>
  <si>
    <t>Descrizione del pagamento</t>
  </si>
  <si>
    <t>Importo pagato</t>
  </si>
  <si>
    <t>Uscite correnti - Acquisto di beni e di servizi</t>
  </si>
  <si>
    <t>Uscite correnti - Altre spese correnti</t>
  </si>
  <si>
    <t>IMPOSTA REGISTRO CAUSA PINI</t>
  </si>
  <si>
    <t>Uscite in conto capitale - Altre spese in conto capitale</t>
  </si>
  <si>
    <t xml:space="preserve">saldo fatture </t>
  </si>
  <si>
    <t>saldo fattura</t>
  </si>
  <si>
    <t>Forniture / Prestazioni varie</t>
  </si>
  <si>
    <t>saldo fatture</t>
  </si>
  <si>
    <t>RITENUTE PREVIDENZIALI/CONTRIBUTI</t>
  </si>
  <si>
    <t>Saldo Fattura</t>
  </si>
  <si>
    <t>saldo fatture utenze</t>
  </si>
  <si>
    <t>SALDO FATTURE</t>
  </si>
  <si>
    <t>SALDO FATTURE SERVIZI DI MANUTENZIONE</t>
  </si>
  <si>
    <t xml:space="preserve">notula pini </t>
  </si>
  <si>
    <t>saldo fatture asst/irccs della regione</t>
  </si>
  <si>
    <t>saldo ft asst/irccs della regione</t>
  </si>
  <si>
    <t>saldo fatture  utenze</t>
  </si>
  <si>
    <t>saldo fatture per formazione</t>
  </si>
  <si>
    <t>Saldo fattura Servizio di Pulizie</t>
  </si>
  <si>
    <t>Somministrazione Pasti</t>
  </si>
  <si>
    <t>Causa PINI</t>
  </si>
  <si>
    <t>Saldo Fattura Servizio di Ambulanza e Trasporto Sangue</t>
  </si>
  <si>
    <t>SALDO FATTURE DA ASST/IRCCS DELLA REGIONE</t>
  </si>
  <si>
    <t>saldo fatture per utenze</t>
  </si>
  <si>
    <t>PRESTAZIONI SANITARIE</t>
  </si>
  <si>
    <t xml:space="preserve">Saldo fattura </t>
  </si>
  <si>
    <t>fabbricati</t>
  </si>
  <si>
    <t xml:space="preserve">ADDIZIONALE COMUNALE </t>
  </si>
  <si>
    <t xml:space="preserve">ADDIZIONALE REGIONALE </t>
  </si>
  <si>
    <t>restituzione pagamento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</si>
</sst>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6" x14ac:knownFonts="1">
    <font>
      <sz val="11"/>
      <color theme="1"/>
      <name val="Calibri"/>
      <family val="2"/>
      <scheme val="minor"/>
    </font>
    <font>
      <b/>
      <sz val="7"/>
      <name val="Arial"/>
      <family val="2"/>
    </font>
    <font>
      <sz val="7"/>
      <color indexed="8"/>
      <name val="Arial"/>
      <family val="2"/>
    </font>
    <font>
      <b/>
      <sz val="7"/>
      <color theme="8" tint="-0.249977111117893"/>
      <name val="Arial"/>
      <family val="2"/>
    </font>
    <font>
      <b/>
      <sz val="7"/>
      <color theme="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14" fontId="5" fillId="0" borderId="5" xfId="0" applyNumberFormat="1" applyFont="1" applyBorder="1" applyAlignment="1">
      <alignment vertical="center" wrapText="1"/>
    </xf>
    <xf numFmtId="164" fontId="5" fillId="0" borderId="5" xfId="0" applyNumberFormat="1" applyFont="1" applyBorder="1" applyAlignment="1">
      <alignment vertical="center" wrapText="1"/>
    </xf>
    <xf numFmtId="14" fontId="5" fillId="0" borderId="5" xfId="0" applyNumberFormat="1" applyFont="1" applyFill="1" applyBorder="1" applyAlignment="1">
      <alignment vertical="center" wrapText="1"/>
    </xf>
    <xf numFmtId="16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BEB8D-4CB0-485D-AFC2-519B0FC2518B}">
  <sheetPr>
    <pageSetUpPr fitToPage="1"/>
  </sheetPr>
  <dimension ref="A1:G2514"/>
  <sheetViews>
    <sheetView tabSelected="1" workbookViewId="0">
      <selection activeCell="G2514" sqref="A1:G2514"/>
    </sheetView>
  </sheetViews>
  <sheetFormatPr defaultRowHeight="15" x14ac:dyDescent="0.25"/>
  <cols>
    <col min="1" max="1" width="11.42578125" customWidth="1"/>
    <col min="2" max="2" width="11.5703125" customWidth="1"/>
    <col min="3" max="3" width="22.7109375" customWidth="1"/>
    <col min="4" max="4" width="23.140625" customWidth="1"/>
    <col min="5" max="5" width="28.85546875" customWidth="1"/>
    <col min="6" max="6" width="32.140625" customWidth="1"/>
    <col min="7" max="7" width="13.5703125" style="17" customWidth="1"/>
  </cols>
  <sheetData>
    <row r="1" spans="1:7" x14ac:dyDescent="0.25">
      <c r="A1" s="1"/>
      <c r="B1" s="2"/>
      <c r="C1" s="3"/>
      <c r="D1" s="3"/>
      <c r="E1" s="3"/>
      <c r="F1" s="3"/>
      <c r="G1" s="4"/>
    </row>
    <row r="2" spans="1:7" x14ac:dyDescent="0.25">
      <c r="A2" s="5" t="s">
        <v>0</v>
      </c>
      <c r="B2" s="5"/>
      <c r="C2" s="5"/>
      <c r="D2" s="5"/>
      <c r="E2" s="5"/>
      <c r="F2" s="5"/>
      <c r="G2" s="5"/>
    </row>
    <row r="3" spans="1:7" x14ac:dyDescent="0.25">
      <c r="A3" s="6"/>
      <c r="B3" s="7"/>
      <c r="C3" s="6"/>
      <c r="D3" s="6"/>
      <c r="E3" s="6"/>
      <c r="F3" s="6"/>
      <c r="G3" s="8"/>
    </row>
    <row r="4" spans="1:7" x14ac:dyDescent="0.25">
      <c r="A4" s="5" t="s">
        <v>1</v>
      </c>
      <c r="B4" s="5"/>
      <c r="C4" s="5"/>
      <c r="D4" s="5"/>
      <c r="E4" s="5"/>
      <c r="F4" s="5"/>
      <c r="G4" s="5"/>
    </row>
    <row r="5" spans="1:7" x14ac:dyDescent="0.25">
      <c r="A5" s="6"/>
      <c r="B5" s="7"/>
      <c r="C5" s="6"/>
      <c r="D5" s="6"/>
      <c r="E5" s="6"/>
      <c r="F5" s="6"/>
      <c r="G5" s="8"/>
    </row>
    <row r="6" spans="1:7" x14ac:dyDescent="0.25">
      <c r="A6" s="5" t="s">
        <v>2</v>
      </c>
      <c r="B6" s="5"/>
      <c r="C6" s="5"/>
      <c r="D6" s="5"/>
      <c r="E6" s="5"/>
      <c r="F6" s="5"/>
      <c r="G6" s="5"/>
    </row>
    <row r="7" spans="1:7" x14ac:dyDescent="0.25">
      <c r="A7" s="6"/>
      <c r="B7" s="7"/>
      <c r="C7" s="6"/>
      <c r="D7" s="6"/>
      <c r="E7" s="6"/>
      <c r="F7" s="6"/>
      <c r="G7" s="8"/>
    </row>
    <row r="8" spans="1:7" x14ac:dyDescent="0.25">
      <c r="A8" s="1"/>
      <c r="B8" s="2"/>
      <c r="C8" s="3"/>
      <c r="D8" s="3"/>
      <c r="E8" s="3"/>
      <c r="F8" s="3"/>
      <c r="G8" s="4"/>
    </row>
    <row r="9" spans="1:7" ht="53.25" customHeight="1" x14ac:dyDescent="0.25">
      <c r="A9" s="9" t="s">
        <v>3</v>
      </c>
      <c r="B9" s="10" t="s">
        <v>4</v>
      </c>
      <c r="C9" s="11" t="s">
        <v>5</v>
      </c>
      <c r="D9" s="11" t="s">
        <v>6</v>
      </c>
      <c r="E9" s="11" t="s">
        <v>7</v>
      </c>
      <c r="F9" s="11" t="s">
        <v>8</v>
      </c>
      <c r="G9" s="12" t="s">
        <v>9</v>
      </c>
    </row>
    <row r="10" spans="1:7" ht="22.5" x14ac:dyDescent="0.25">
      <c r="A10" s="13">
        <v>12368</v>
      </c>
      <c r="B10" s="14">
        <v>43378.490706018521</v>
      </c>
      <c r="C10" s="13" t="s">
        <v>10</v>
      </c>
      <c r="D10" s="13" t="str">
        <f>"DEPOSITI CAUZIONALI ARMADIETTO/BADGE"</f>
        <v>DEPOSITI CAUZIONALI ARMADIETTO/BADGE</v>
      </c>
      <c r="E10" s="13" t="str">
        <f>"TOSETTI PIETRO"</f>
        <v>TOSETTI PIETRO</v>
      </c>
      <c r="F10" s="13" t="str">
        <f>"RESTITUZIONE DEPOSITO CAUZIONALE"</f>
        <v>RESTITUZIONE DEPOSITO CAUZIONALE</v>
      </c>
      <c r="G10" s="15">
        <v>70</v>
      </c>
    </row>
    <row r="11" spans="1:7" ht="22.5" x14ac:dyDescent="0.25">
      <c r="A11" s="13">
        <v>12369</v>
      </c>
      <c r="B11" s="14">
        <v>43382.639027777775</v>
      </c>
      <c r="C11" s="13" t="s">
        <v>11</v>
      </c>
      <c r="D11" s="13" t="str">
        <f>"FONDO RISCHI FALLIMENTO FARO"</f>
        <v>FONDO RISCHI FALLIMENTO FARO</v>
      </c>
      <c r="E11" s="13" t="str">
        <f>"AGENZIA DELLE ENTRATE - UFFICIO PROVINCIALE DI MILANO - TERRITORIO"</f>
        <v>AGENZIA DELLE ENTRATE - UFFICIO PROVINCIALE DI MILANO - TERRITORIO</v>
      </c>
      <c r="F11" s="13" t="s">
        <v>12</v>
      </c>
      <c r="G11" s="15">
        <v>2819.5</v>
      </c>
    </row>
    <row r="12" spans="1:7" ht="33.75" x14ac:dyDescent="0.25">
      <c r="A12" s="13">
        <v>12370</v>
      </c>
      <c r="B12" s="14">
        <v>43383.496747685182</v>
      </c>
      <c r="C12" s="13" t="s">
        <v>13</v>
      </c>
      <c r="D12" s="13" t="str">
        <f>"ANTICIPI ACQUISIZIONE NUOVA RISONANZA MAGNETICA CONTR REGIONALE X/388/2013"</f>
        <v>ANTICIPI ACQUISIZIONE NUOVA RISONANZA MAGNETICA CONTR REGIONALE X/388/2013</v>
      </c>
      <c r="E12" s="13" t="str">
        <f>"GE MEDICAL SYSTEMS ITALIA SPA"</f>
        <v>GE MEDICAL SYSTEMS ITALIA SPA</v>
      </c>
      <c r="F12" s="13" t="str">
        <f>"ATTREZZATURE SANITARIE E SCIENTIFICHE"</f>
        <v>ATTREZZATURE SANITARIE E SCIENTIFICHE</v>
      </c>
      <c r="G12" s="15">
        <v>899000</v>
      </c>
    </row>
    <row r="13" spans="1:7" ht="22.5" x14ac:dyDescent="0.25">
      <c r="A13" s="13">
        <v>12371</v>
      </c>
      <c r="B13" s="14">
        <v>43383.496747685182</v>
      </c>
      <c r="C13" s="13" t="s">
        <v>13</v>
      </c>
      <c r="D13" s="13" t="str">
        <f>"ANTICIPI REALIZZAZIONE NUOVA SEDE AREU DGR X/855/2013"</f>
        <v>ANTICIPI REALIZZAZIONE NUOVA SEDE AREU DGR X/855/2013</v>
      </c>
      <c r="E13" s="13" t="str">
        <f>"E.T.S. SPA - Engineering and Technical Services"</f>
        <v>E.T.S. SPA - Engineering and Technical Services</v>
      </c>
      <c r="F13" s="13" t="str">
        <f>"FABBRICATI"</f>
        <v>FABBRICATI</v>
      </c>
      <c r="G13" s="15">
        <v>2688.13</v>
      </c>
    </row>
    <row r="14" spans="1:7" ht="22.5" x14ac:dyDescent="0.25">
      <c r="A14" s="13">
        <v>12372</v>
      </c>
      <c r="B14" s="14">
        <v>43383.496747685182</v>
      </c>
      <c r="C14" s="13" t="s">
        <v>13</v>
      </c>
      <c r="D14" s="13" t="str">
        <f>"FABBRICATI STRUMENTALI"</f>
        <v>FABBRICATI STRUMENTALI</v>
      </c>
      <c r="E14" s="13" t="str">
        <f>"SE.MA COSTRUZIONI SRL"</f>
        <v>SE.MA COSTRUZIONI SRL</v>
      </c>
      <c r="F14" s="13" t="s">
        <v>14</v>
      </c>
      <c r="G14" s="15">
        <v>20232.330000000002</v>
      </c>
    </row>
    <row r="15" spans="1:7" ht="22.5" x14ac:dyDescent="0.25">
      <c r="A15" s="13">
        <v>12373</v>
      </c>
      <c r="B15" s="14">
        <v>43383.496747685182</v>
      </c>
      <c r="C15" s="13" t="s">
        <v>13</v>
      </c>
      <c r="D15" s="13" t="str">
        <f>"IMPIANTI ELETTRICI ED IDRAULICI"</f>
        <v>IMPIANTI ELETTRICI ED IDRAULICI</v>
      </c>
      <c r="E15" s="13" t="str">
        <f>"SIEMENS HEALTHCARE SRL"</f>
        <v>SIEMENS HEALTHCARE SRL</v>
      </c>
      <c r="F15" s="13" t="s">
        <v>15</v>
      </c>
      <c r="G15" s="15">
        <v>18073.27</v>
      </c>
    </row>
    <row r="16" spans="1:7" ht="22.5" x14ac:dyDescent="0.25">
      <c r="A16" s="13">
        <v>12374</v>
      </c>
      <c r="B16" s="14">
        <v>43383.496747685182</v>
      </c>
      <c r="C16" s="13" t="s">
        <v>10</v>
      </c>
      <c r="D16" s="13" t="str">
        <f>"PRODOTTI ALIMENTARI"</f>
        <v>PRODOTTI ALIMENTARI</v>
      </c>
      <c r="E16" s="13" t="str">
        <f>"TURRA ELIO Ortofrutta"</f>
        <v>TURRA ELIO Ortofrutta</v>
      </c>
      <c r="F16" s="13" t="s">
        <v>16</v>
      </c>
      <c r="G16" s="15">
        <v>122</v>
      </c>
    </row>
    <row r="17" spans="1:7" ht="22.5" x14ac:dyDescent="0.25">
      <c r="A17" s="13">
        <v>12375</v>
      </c>
      <c r="B17" s="14">
        <v>43389.460474537038</v>
      </c>
      <c r="C17" s="13" t="s">
        <v>11</v>
      </c>
      <c r="D17" s="13" t="str">
        <f>"FONDO RISCHI"</f>
        <v>FONDO RISCHI</v>
      </c>
      <c r="E17" s="13" t="str">
        <f>"MORINI OSVALDO"</f>
        <v>MORINI OSVALDO</v>
      </c>
      <c r="F17" s="13" t="s">
        <v>15</v>
      </c>
      <c r="G17" s="15">
        <v>612</v>
      </c>
    </row>
    <row r="18" spans="1:7" ht="33.75" x14ac:dyDescent="0.25">
      <c r="A18" s="13">
        <v>12376</v>
      </c>
      <c r="B18" s="14">
        <v>43389.460613425923</v>
      </c>
      <c r="C18" s="13" t="s">
        <v>11</v>
      </c>
      <c r="D18" s="13" t="str">
        <f>"ACCANTONAMENTI PER COPERTURA DIRETTA DAI RISCHI (AUTOASSICURAZIONE)"</f>
        <v>ACCANTONAMENTI PER COPERTURA DIRETTA DAI RISCHI (AUTOASSICURAZIONE)</v>
      </c>
      <c r="E18" s="13" t="str">
        <f>"MORINI OSVALDO"</f>
        <v>MORINI OSVALDO</v>
      </c>
      <c r="F18" s="13" t="s">
        <v>17</v>
      </c>
      <c r="G18" s="15">
        <v>714</v>
      </c>
    </row>
    <row r="19" spans="1:7" ht="33.75" x14ac:dyDescent="0.25">
      <c r="A19" s="13">
        <v>12377</v>
      </c>
      <c r="B19" s="14">
        <v>43392.572638888887</v>
      </c>
      <c r="C19" s="13" t="s">
        <v>10</v>
      </c>
      <c r="D19" s="13" t="str">
        <f>"SERVIZIO TRASPORTO MAGAZZINAGGIO FACCHINAGGIO IN APPALTO"</f>
        <v>SERVIZIO TRASPORTO MAGAZZINAGGIO FACCHINAGGIO IN APPALTO</v>
      </c>
      <c r="E19" s="13" t="str">
        <f>"MEDICAL TRANSPORT SOCIETA' COOPERATIVA SOCIALE - ONLUS"</f>
        <v>MEDICAL TRANSPORT SOCIETA' COOPERATIVA SOCIALE - ONLUS</v>
      </c>
      <c r="F19" s="13" t="s">
        <v>14</v>
      </c>
      <c r="G19" s="15">
        <v>2750</v>
      </c>
    </row>
    <row r="20" spans="1:7" ht="33.75" x14ac:dyDescent="0.25">
      <c r="A20" s="13">
        <v>12378</v>
      </c>
      <c r="B20" s="14">
        <v>43392.572638888887</v>
      </c>
      <c r="C20" s="13" t="s">
        <v>10</v>
      </c>
      <c r="D20" s="13" t="str">
        <f>"SERVIZIO TRASPORTO MAGAZZINAGGIO FACCHINAGGIO IN APPALTO"</f>
        <v>SERVIZIO TRASPORTO MAGAZZINAGGIO FACCHINAGGIO IN APPALTO</v>
      </c>
      <c r="E20" s="13" t="str">
        <f>"MEDICAL TRANSPORT SOCIETA' COOPERATIVA SOCIALE - ONLUS"</f>
        <v>MEDICAL TRANSPORT SOCIETA' COOPERATIVA SOCIALE - ONLUS</v>
      </c>
      <c r="F20" s="13" t="s">
        <v>14</v>
      </c>
      <c r="G20" s="15">
        <v>2750</v>
      </c>
    </row>
    <row r="21" spans="1:7" ht="22.5" x14ac:dyDescent="0.25">
      <c r="A21" s="13">
        <v>12379</v>
      </c>
      <c r="B21" s="14">
        <v>43392.572650462964</v>
      </c>
      <c r="C21" s="13" t="s">
        <v>10</v>
      </c>
      <c r="D21" s="13" t="str">
        <f t="shared" ref="D21:D41" si="0">"PRODOTTI ALIMENTARI"</f>
        <v>PRODOTTI ALIMENTARI</v>
      </c>
      <c r="E21" s="13" t="str">
        <f t="shared" ref="E21:E36" si="1">"DAC SPA "</f>
        <v xml:space="preserve">DAC SPA </v>
      </c>
      <c r="F21" s="13" t="s">
        <v>16</v>
      </c>
      <c r="G21" s="15">
        <v>453.6</v>
      </c>
    </row>
    <row r="22" spans="1:7" ht="22.5" x14ac:dyDescent="0.25">
      <c r="A22" s="13">
        <v>12380</v>
      </c>
      <c r="B22" s="14">
        <v>43392.572650462964</v>
      </c>
      <c r="C22" s="13" t="s">
        <v>10</v>
      </c>
      <c r="D22" s="13" t="str">
        <f t="shared" si="0"/>
        <v>PRODOTTI ALIMENTARI</v>
      </c>
      <c r="E22" s="13" t="str">
        <f t="shared" si="1"/>
        <v xml:space="preserve">DAC SPA </v>
      </c>
      <c r="F22" s="13" t="s">
        <v>16</v>
      </c>
      <c r="G22" s="15">
        <v>149.41999999999999</v>
      </c>
    </row>
    <row r="23" spans="1:7" ht="22.5" x14ac:dyDescent="0.25">
      <c r="A23" s="13">
        <v>12381</v>
      </c>
      <c r="B23" s="14">
        <v>43392.572650462964</v>
      </c>
      <c r="C23" s="13" t="s">
        <v>10</v>
      </c>
      <c r="D23" s="13" t="str">
        <f t="shared" si="0"/>
        <v>PRODOTTI ALIMENTARI</v>
      </c>
      <c r="E23" s="13" t="str">
        <f t="shared" si="1"/>
        <v xml:space="preserve">DAC SPA </v>
      </c>
      <c r="F23" s="13" t="s">
        <v>16</v>
      </c>
      <c r="G23" s="15">
        <v>224.65</v>
      </c>
    </row>
    <row r="24" spans="1:7" ht="22.5" x14ac:dyDescent="0.25">
      <c r="A24" s="13">
        <v>12382</v>
      </c>
      <c r="B24" s="14">
        <v>43392.572650462964</v>
      </c>
      <c r="C24" s="13" t="s">
        <v>10</v>
      </c>
      <c r="D24" s="13" t="str">
        <f t="shared" si="0"/>
        <v>PRODOTTI ALIMENTARI</v>
      </c>
      <c r="E24" s="13" t="str">
        <f t="shared" si="1"/>
        <v xml:space="preserve">DAC SPA </v>
      </c>
      <c r="F24" s="13" t="s">
        <v>16</v>
      </c>
      <c r="G24" s="15">
        <v>167.7</v>
      </c>
    </row>
    <row r="25" spans="1:7" ht="22.5" x14ac:dyDescent="0.25">
      <c r="A25" s="13">
        <v>12383</v>
      </c>
      <c r="B25" s="14">
        <v>43392.572650462964</v>
      </c>
      <c r="C25" s="13" t="s">
        <v>10</v>
      </c>
      <c r="D25" s="13" t="str">
        <f t="shared" si="0"/>
        <v>PRODOTTI ALIMENTARI</v>
      </c>
      <c r="E25" s="13" t="str">
        <f t="shared" si="1"/>
        <v xml:space="preserve">DAC SPA </v>
      </c>
      <c r="F25" s="13" t="s">
        <v>16</v>
      </c>
      <c r="G25" s="15">
        <v>199.6</v>
      </c>
    </row>
    <row r="26" spans="1:7" ht="22.5" x14ac:dyDescent="0.25">
      <c r="A26" s="13">
        <v>12384</v>
      </c>
      <c r="B26" s="14">
        <v>43392.572650462964</v>
      </c>
      <c r="C26" s="13" t="s">
        <v>10</v>
      </c>
      <c r="D26" s="13" t="str">
        <f t="shared" si="0"/>
        <v>PRODOTTI ALIMENTARI</v>
      </c>
      <c r="E26" s="13" t="str">
        <f t="shared" si="1"/>
        <v xml:space="preserve">DAC SPA </v>
      </c>
      <c r="F26" s="13" t="s">
        <v>16</v>
      </c>
      <c r="G26" s="15">
        <v>271.52</v>
      </c>
    </row>
    <row r="27" spans="1:7" ht="22.5" x14ac:dyDescent="0.25">
      <c r="A27" s="13">
        <v>12385</v>
      </c>
      <c r="B27" s="14">
        <v>43392.572650462964</v>
      </c>
      <c r="C27" s="13" t="s">
        <v>10</v>
      </c>
      <c r="D27" s="13" t="str">
        <f t="shared" si="0"/>
        <v>PRODOTTI ALIMENTARI</v>
      </c>
      <c r="E27" s="13" t="str">
        <f t="shared" si="1"/>
        <v xml:space="preserve">DAC SPA </v>
      </c>
      <c r="F27" s="13" t="s">
        <v>16</v>
      </c>
      <c r="G27" s="15">
        <v>513.53</v>
      </c>
    </row>
    <row r="28" spans="1:7" ht="22.5" x14ac:dyDescent="0.25">
      <c r="A28" s="13">
        <v>12386</v>
      </c>
      <c r="B28" s="14">
        <v>43392.572650462964</v>
      </c>
      <c r="C28" s="13" t="s">
        <v>10</v>
      </c>
      <c r="D28" s="13" t="str">
        <f t="shared" si="0"/>
        <v>PRODOTTI ALIMENTARI</v>
      </c>
      <c r="E28" s="13" t="str">
        <f t="shared" si="1"/>
        <v xml:space="preserve">DAC SPA </v>
      </c>
      <c r="F28" s="13" t="s">
        <v>16</v>
      </c>
      <c r="G28" s="15">
        <v>199.7</v>
      </c>
    </row>
    <row r="29" spans="1:7" ht="22.5" x14ac:dyDescent="0.25">
      <c r="A29" s="13">
        <v>12387</v>
      </c>
      <c r="B29" s="14">
        <v>43392.572650462964</v>
      </c>
      <c r="C29" s="13" t="s">
        <v>10</v>
      </c>
      <c r="D29" s="13" t="str">
        <f t="shared" si="0"/>
        <v>PRODOTTI ALIMENTARI</v>
      </c>
      <c r="E29" s="13" t="str">
        <f t="shared" si="1"/>
        <v xml:space="preserve">DAC SPA </v>
      </c>
      <c r="F29" s="13" t="s">
        <v>16</v>
      </c>
      <c r="G29" s="15">
        <v>693.42</v>
      </c>
    </row>
    <row r="30" spans="1:7" ht="22.5" x14ac:dyDescent="0.25">
      <c r="A30" s="13">
        <v>12388</v>
      </c>
      <c r="B30" s="14">
        <v>43392.572650462964</v>
      </c>
      <c r="C30" s="13" t="s">
        <v>10</v>
      </c>
      <c r="D30" s="13" t="str">
        <f t="shared" si="0"/>
        <v>PRODOTTI ALIMENTARI</v>
      </c>
      <c r="E30" s="13" t="str">
        <f t="shared" si="1"/>
        <v xml:space="preserve">DAC SPA </v>
      </c>
      <c r="F30" s="13" t="s">
        <v>16</v>
      </c>
      <c r="G30" s="15">
        <v>111.28</v>
      </c>
    </row>
    <row r="31" spans="1:7" ht="22.5" x14ac:dyDescent="0.25">
      <c r="A31" s="13">
        <v>12389</v>
      </c>
      <c r="B31" s="14">
        <v>43392.572650462964</v>
      </c>
      <c r="C31" s="13" t="s">
        <v>10</v>
      </c>
      <c r="D31" s="13" t="str">
        <f t="shared" si="0"/>
        <v>PRODOTTI ALIMENTARI</v>
      </c>
      <c r="E31" s="13" t="str">
        <f t="shared" si="1"/>
        <v xml:space="preserve">DAC SPA </v>
      </c>
      <c r="F31" s="13" t="s">
        <v>16</v>
      </c>
      <c r="G31" s="15">
        <v>639.69000000000005</v>
      </c>
    </row>
    <row r="32" spans="1:7" ht="22.5" x14ac:dyDescent="0.25">
      <c r="A32" s="13">
        <v>12390</v>
      </c>
      <c r="B32" s="14">
        <v>43392.572650462964</v>
      </c>
      <c r="C32" s="13" t="s">
        <v>10</v>
      </c>
      <c r="D32" s="13" t="str">
        <f t="shared" si="0"/>
        <v>PRODOTTI ALIMENTARI</v>
      </c>
      <c r="E32" s="13" t="str">
        <f t="shared" si="1"/>
        <v xml:space="preserve">DAC SPA </v>
      </c>
      <c r="F32" s="13" t="s">
        <v>16</v>
      </c>
      <c r="G32" s="15">
        <v>178.6</v>
      </c>
    </row>
    <row r="33" spans="1:7" ht="22.5" x14ac:dyDescent="0.25">
      <c r="A33" s="13">
        <v>12391</v>
      </c>
      <c r="B33" s="14">
        <v>43392.572650462964</v>
      </c>
      <c r="C33" s="13" t="s">
        <v>10</v>
      </c>
      <c r="D33" s="13" t="str">
        <f t="shared" si="0"/>
        <v>PRODOTTI ALIMENTARI</v>
      </c>
      <c r="E33" s="13" t="str">
        <f t="shared" si="1"/>
        <v xml:space="preserve">DAC SPA </v>
      </c>
      <c r="F33" s="13" t="s">
        <v>16</v>
      </c>
      <c r="G33" s="15">
        <v>182.24</v>
      </c>
    </row>
    <row r="34" spans="1:7" ht="22.5" x14ac:dyDescent="0.25">
      <c r="A34" s="13">
        <v>12392</v>
      </c>
      <c r="B34" s="14">
        <v>43392.572650462964</v>
      </c>
      <c r="C34" s="13" t="s">
        <v>10</v>
      </c>
      <c r="D34" s="13" t="str">
        <f t="shared" si="0"/>
        <v>PRODOTTI ALIMENTARI</v>
      </c>
      <c r="E34" s="13" t="str">
        <f t="shared" si="1"/>
        <v xml:space="preserve">DAC SPA </v>
      </c>
      <c r="F34" s="13" t="s">
        <v>16</v>
      </c>
      <c r="G34" s="15">
        <v>214</v>
      </c>
    </row>
    <row r="35" spans="1:7" ht="22.5" x14ac:dyDescent="0.25">
      <c r="A35" s="13">
        <v>12393</v>
      </c>
      <c r="B35" s="14">
        <v>43392.572650462964</v>
      </c>
      <c r="C35" s="13" t="s">
        <v>10</v>
      </c>
      <c r="D35" s="13" t="str">
        <f t="shared" si="0"/>
        <v>PRODOTTI ALIMENTARI</v>
      </c>
      <c r="E35" s="13" t="str">
        <f t="shared" si="1"/>
        <v xml:space="preserve">DAC SPA </v>
      </c>
      <c r="F35" s="13" t="s">
        <v>16</v>
      </c>
      <c r="G35" s="15">
        <v>579.51</v>
      </c>
    </row>
    <row r="36" spans="1:7" ht="22.5" x14ac:dyDescent="0.25">
      <c r="A36" s="13">
        <v>12394</v>
      </c>
      <c r="B36" s="14">
        <v>43392.572650462964</v>
      </c>
      <c r="C36" s="13" t="s">
        <v>10</v>
      </c>
      <c r="D36" s="13" t="str">
        <f t="shared" si="0"/>
        <v>PRODOTTI ALIMENTARI</v>
      </c>
      <c r="E36" s="13" t="str">
        <f t="shared" si="1"/>
        <v xml:space="preserve">DAC SPA </v>
      </c>
      <c r="F36" s="13" t="s">
        <v>16</v>
      </c>
      <c r="G36" s="15">
        <v>57.3</v>
      </c>
    </row>
    <row r="37" spans="1:7" ht="22.5" x14ac:dyDescent="0.25">
      <c r="A37" s="13">
        <v>12395</v>
      </c>
      <c r="B37" s="14">
        <v>43392.572650462964</v>
      </c>
      <c r="C37" s="13" t="s">
        <v>10</v>
      </c>
      <c r="D37" s="13" t="str">
        <f t="shared" si="0"/>
        <v>PRODOTTI ALIMENTARI</v>
      </c>
      <c r="E37" s="13" t="str">
        <f>"NESTLE' ITALIANA SPA"</f>
        <v>NESTLE' ITALIANA SPA</v>
      </c>
      <c r="F37" s="13" t="s">
        <v>16</v>
      </c>
      <c r="G37" s="15">
        <v>960.42</v>
      </c>
    </row>
    <row r="38" spans="1:7" ht="22.5" x14ac:dyDescent="0.25">
      <c r="A38" s="13">
        <v>12396</v>
      </c>
      <c r="B38" s="14">
        <v>43392.572650462964</v>
      </c>
      <c r="C38" s="13" t="s">
        <v>10</v>
      </c>
      <c r="D38" s="13" t="str">
        <f t="shared" si="0"/>
        <v>PRODOTTI ALIMENTARI</v>
      </c>
      <c r="E38" s="13" t="str">
        <f>"NESTLE' ITALIANA SPA"</f>
        <v>NESTLE' ITALIANA SPA</v>
      </c>
      <c r="F38" s="13" t="s">
        <v>16</v>
      </c>
      <c r="G38" s="15">
        <v>960.42</v>
      </c>
    </row>
    <row r="39" spans="1:7" ht="22.5" x14ac:dyDescent="0.25">
      <c r="A39" s="13">
        <v>12397</v>
      </c>
      <c r="B39" s="14">
        <v>43392.572650462964</v>
      </c>
      <c r="C39" s="13" t="s">
        <v>10</v>
      </c>
      <c r="D39" s="13" t="str">
        <f t="shared" si="0"/>
        <v>PRODOTTI ALIMENTARI</v>
      </c>
      <c r="E39" s="13" t="str">
        <f>"NESTLE' ITALIANA SPA"</f>
        <v>NESTLE' ITALIANA SPA</v>
      </c>
      <c r="F39" s="13" t="s">
        <v>16</v>
      </c>
      <c r="G39" s="15">
        <v>333</v>
      </c>
    </row>
    <row r="40" spans="1:7" ht="22.5" x14ac:dyDescent="0.25">
      <c r="A40" s="13">
        <v>12398</v>
      </c>
      <c r="B40" s="14">
        <v>43392.572650462964</v>
      </c>
      <c r="C40" s="13" t="s">
        <v>10</v>
      </c>
      <c r="D40" s="13" t="str">
        <f t="shared" si="0"/>
        <v>PRODOTTI ALIMENTARI</v>
      </c>
      <c r="E40" s="13" t="str">
        <f>"PANIFICIO CIMNAGHI di Alberto di Renzo"</f>
        <v>PANIFICIO CIMNAGHI di Alberto di Renzo</v>
      </c>
      <c r="F40" s="13" t="s">
        <v>16</v>
      </c>
      <c r="G40" s="15">
        <v>747.1</v>
      </c>
    </row>
    <row r="41" spans="1:7" ht="22.5" x14ac:dyDescent="0.25">
      <c r="A41" s="13">
        <v>12399</v>
      </c>
      <c r="B41" s="14">
        <v>43392.572650462964</v>
      </c>
      <c r="C41" s="13" t="s">
        <v>10</v>
      </c>
      <c r="D41" s="13" t="str">
        <f t="shared" si="0"/>
        <v>PRODOTTI ALIMENTARI</v>
      </c>
      <c r="E41" s="13" t="str">
        <f>"PANIFICIO CIMNAGHI di Alberto di Renzo"</f>
        <v>PANIFICIO CIMNAGHI di Alberto di Renzo</v>
      </c>
      <c r="F41" s="13" t="s">
        <v>16</v>
      </c>
      <c r="G41" s="15">
        <v>420.7</v>
      </c>
    </row>
    <row r="42" spans="1:7" ht="22.5" x14ac:dyDescent="0.25">
      <c r="A42" s="13">
        <v>12400</v>
      </c>
      <c r="B42" s="14">
        <v>43392.572650462964</v>
      </c>
      <c r="C42" s="13" t="s">
        <v>10</v>
      </c>
      <c r="D42" s="13" t="str">
        <f>"SOPRAVVENIENZE PASSIVE"</f>
        <v>SOPRAVVENIENZE PASSIVE</v>
      </c>
      <c r="E42" s="13" t="str">
        <f>"BECKMAN COULTER SRL"</f>
        <v>BECKMAN COULTER SRL</v>
      </c>
      <c r="F42" s="13" t="str">
        <f>"ACQ.SERV.NON SANITARI"</f>
        <v>ACQ.SERV.NON SANITARI</v>
      </c>
      <c r="G42" s="15">
        <v>663.52</v>
      </c>
    </row>
    <row r="43" spans="1:7" ht="22.5" x14ac:dyDescent="0.25">
      <c r="A43" s="13">
        <v>12401</v>
      </c>
      <c r="B43" s="14">
        <v>43392.572650462964</v>
      </c>
      <c r="C43" s="13" t="s">
        <v>10</v>
      </c>
      <c r="D43" s="13" t="str">
        <f>"SOPRAVVENIENZE PASSIVE"</f>
        <v>SOPRAVVENIENZE PASSIVE</v>
      </c>
      <c r="E43" s="13" t="str">
        <f>"BECKMAN COULTER SRL"</f>
        <v>BECKMAN COULTER SRL</v>
      </c>
      <c r="F43" s="13" t="str">
        <f>"ACQ.SERV.NON SANITARI"</f>
        <v>ACQ.SERV.NON SANITARI</v>
      </c>
      <c r="G43" s="15">
        <v>707.6</v>
      </c>
    </row>
    <row r="44" spans="1:7" ht="22.5" x14ac:dyDescent="0.25">
      <c r="A44" s="13">
        <v>12402</v>
      </c>
      <c r="B44" s="14">
        <v>43392.572650462964</v>
      </c>
      <c r="C44" s="13" t="s">
        <v>10</v>
      </c>
      <c r="D44" s="13" t="str">
        <f>"SOPRAVVENIENZE PASSIVE"</f>
        <v>SOPRAVVENIENZE PASSIVE</v>
      </c>
      <c r="E44" s="13" t="str">
        <f>"BECKMAN COULTER SRL"</f>
        <v>BECKMAN COULTER SRL</v>
      </c>
      <c r="F44" s="13" t="str">
        <f>"ACQ.SERV.NON SANITARI"</f>
        <v>ACQ.SERV.NON SANITARI</v>
      </c>
      <c r="G44" s="15">
        <v>3034.42</v>
      </c>
    </row>
    <row r="45" spans="1:7" ht="22.5" x14ac:dyDescent="0.25">
      <c r="A45" s="13">
        <v>12403</v>
      </c>
      <c r="B45" s="14">
        <v>43392.572650462964</v>
      </c>
      <c r="C45" s="13" t="s">
        <v>10</v>
      </c>
      <c r="D45" s="13" t="str">
        <f>"SOPRAVVENIENZE PASSIVE"</f>
        <v>SOPRAVVENIENZE PASSIVE</v>
      </c>
      <c r="E45" s="13" t="str">
        <f>"BECKMAN COULTER SRL"</f>
        <v>BECKMAN COULTER SRL</v>
      </c>
      <c r="F45" s="13" t="str">
        <f>"ACQ.SERV.NON SANITARI"</f>
        <v>ACQ.SERV.NON SANITARI</v>
      </c>
      <c r="G45" s="15">
        <v>3975</v>
      </c>
    </row>
    <row r="46" spans="1:7" ht="22.5" x14ac:dyDescent="0.25">
      <c r="A46" s="13">
        <v>12404</v>
      </c>
      <c r="B46" s="14">
        <v>43392.572650462964</v>
      </c>
      <c r="C46" s="13" t="s">
        <v>10</v>
      </c>
      <c r="D46" s="13" t="str">
        <f>"SOPRAVVENIENZE PASSIVE"</f>
        <v>SOPRAVVENIENZE PASSIVE</v>
      </c>
      <c r="E46" s="13" t="str">
        <f>"BECKMAN COULTER SRL"</f>
        <v>BECKMAN COULTER SRL</v>
      </c>
      <c r="F46" s="13" t="str">
        <f>"ACQ.SERV.NON SANITARI"</f>
        <v>ACQ.SERV.NON SANITARI</v>
      </c>
      <c r="G46" s="15">
        <v>1711.44</v>
      </c>
    </row>
    <row r="47" spans="1:7" ht="22.5" x14ac:dyDescent="0.25">
      <c r="A47" s="13">
        <v>12405</v>
      </c>
      <c r="B47" s="14">
        <v>43392.572662037041</v>
      </c>
      <c r="C47" s="13" t="s">
        <v>10</v>
      </c>
      <c r="D47" s="13" t="str">
        <f t="shared" ref="D47:D59" si="2">"PRODOTTI ALIMENTARI"</f>
        <v>PRODOTTI ALIMENTARI</v>
      </c>
      <c r="E47" s="13" t="str">
        <f t="shared" ref="E47:E55" si="3">"DAC SPA "</f>
        <v xml:space="preserve">DAC SPA </v>
      </c>
      <c r="F47" s="13" t="s">
        <v>16</v>
      </c>
      <c r="G47" s="15">
        <v>662.71</v>
      </c>
    </row>
    <row r="48" spans="1:7" ht="22.5" x14ac:dyDescent="0.25">
      <c r="A48" s="13">
        <v>12406</v>
      </c>
      <c r="B48" s="14">
        <v>43392.572662037041</v>
      </c>
      <c r="C48" s="13" t="s">
        <v>10</v>
      </c>
      <c r="D48" s="13" t="str">
        <f t="shared" si="2"/>
        <v>PRODOTTI ALIMENTARI</v>
      </c>
      <c r="E48" s="13" t="str">
        <f t="shared" si="3"/>
        <v xml:space="preserve">DAC SPA </v>
      </c>
      <c r="F48" s="13" t="s">
        <v>16</v>
      </c>
      <c r="G48" s="15">
        <v>139.9</v>
      </c>
    </row>
    <row r="49" spans="1:7" ht="22.5" x14ac:dyDescent="0.25">
      <c r="A49" s="13">
        <v>12407</v>
      </c>
      <c r="B49" s="14">
        <v>43392.572662037041</v>
      </c>
      <c r="C49" s="13" t="s">
        <v>10</v>
      </c>
      <c r="D49" s="13" t="str">
        <f t="shared" si="2"/>
        <v>PRODOTTI ALIMENTARI</v>
      </c>
      <c r="E49" s="13" t="str">
        <f t="shared" si="3"/>
        <v xml:space="preserve">DAC SPA </v>
      </c>
      <c r="F49" s="13" t="s">
        <v>16</v>
      </c>
      <c r="G49" s="15">
        <v>9.52</v>
      </c>
    </row>
    <row r="50" spans="1:7" ht="22.5" x14ac:dyDescent="0.25">
      <c r="A50" s="13">
        <v>12408</v>
      </c>
      <c r="B50" s="14">
        <v>43392.572662037041</v>
      </c>
      <c r="C50" s="13" t="s">
        <v>10</v>
      </c>
      <c r="D50" s="13" t="str">
        <f t="shared" si="2"/>
        <v>PRODOTTI ALIMENTARI</v>
      </c>
      <c r="E50" s="13" t="str">
        <f t="shared" si="3"/>
        <v xml:space="preserve">DAC SPA </v>
      </c>
      <c r="F50" s="13" t="s">
        <v>16</v>
      </c>
      <c r="G50" s="15">
        <v>237.5</v>
      </c>
    </row>
    <row r="51" spans="1:7" ht="22.5" x14ac:dyDescent="0.25">
      <c r="A51" s="13">
        <v>12409</v>
      </c>
      <c r="B51" s="14">
        <v>43392.572662037041</v>
      </c>
      <c r="C51" s="13" t="s">
        <v>10</v>
      </c>
      <c r="D51" s="13" t="str">
        <f t="shared" si="2"/>
        <v>PRODOTTI ALIMENTARI</v>
      </c>
      <c r="E51" s="13" t="str">
        <f t="shared" si="3"/>
        <v xml:space="preserve">DAC SPA </v>
      </c>
      <c r="F51" s="13" t="s">
        <v>16</v>
      </c>
      <c r="G51" s="15">
        <v>993.74</v>
      </c>
    </row>
    <row r="52" spans="1:7" ht="22.5" x14ac:dyDescent="0.25">
      <c r="A52" s="13">
        <v>12410</v>
      </c>
      <c r="B52" s="14">
        <v>43392.572662037041</v>
      </c>
      <c r="C52" s="13" t="s">
        <v>10</v>
      </c>
      <c r="D52" s="13" t="str">
        <f t="shared" si="2"/>
        <v>PRODOTTI ALIMENTARI</v>
      </c>
      <c r="E52" s="13" t="str">
        <f t="shared" si="3"/>
        <v xml:space="preserve">DAC SPA </v>
      </c>
      <c r="F52" s="13" t="s">
        <v>16</v>
      </c>
      <c r="G52" s="15">
        <v>213.14</v>
      </c>
    </row>
    <row r="53" spans="1:7" ht="22.5" x14ac:dyDescent="0.25">
      <c r="A53" s="13">
        <v>12411</v>
      </c>
      <c r="B53" s="14">
        <v>43392.572662037041</v>
      </c>
      <c r="C53" s="13" t="s">
        <v>10</v>
      </c>
      <c r="D53" s="13" t="str">
        <f t="shared" si="2"/>
        <v>PRODOTTI ALIMENTARI</v>
      </c>
      <c r="E53" s="13" t="str">
        <f t="shared" si="3"/>
        <v xml:space="preserve">DAC SPA </v>
      </c>
      <c r="F53" s="13" t="s">
        <v>16</v>
      </c>
      <c r="G53" s="15">
        <v>286.95999999999998</v>
      </c>
    </row>
    <row r="54" spans="1:7" ht="22.5" x14ac:dyDescent="0.25">
      <c r="A54" s="13">
        <v>12412</v>
      </c>
      <c r="B54" s="14">
        <v>43392.572662037041</v>
      </c>
      <c r="C54" s="13" t="s">
        <v>10</v>
      </c>
      <c r="D54" s="13" t="str">
        <f t="shared" si="2"/>
        <v>PRODOTTI ALIMENTARI</v>
      </c>
      <c r="E54" s="13" t="str">
        <f t="shared" si="3"/>
        <v xml:space="preserve">DAC SPA </v>
      </c>
      <c r="F54" s="13" t="s">
        <v>16</v>
      </c>
      <c r="G54" s="15">
        <v>639.01</v>
      </c>
    </row>
    <row r="55" spans="1:7" ht="22.5" x14ac:dyDescent="0.25">
      <c r="A55" s="13">
        <v>12413</v>
      </c>
      <c r="B55" s="14">
        <v>43392.572662037041</v>
      </c>
      <c r="C55" s="13" t="s">
        <v>10</v>
      </c>
      <c r="D55" s="13" t="str">
        <f t="shared" si="2"/>
        <v>PRODOTTI ALIMENTARI</v>
      </c>
      <c r="E55" s="13" t="str">
        <f t="shared" si="3"/>
        <v xml:space="preserve">DAC SPA </v>
      </c>
      <c r="F55" s="13" t="s">
        <v>16</v>
      </c>
      <c r="G55" s="15">
        <v>513.72</v>
      </c>
    </row>
    <row r="56" spans="1:7" ht="22.5" x14ac:dyDescent="0.25">
      <c r="A56" s="13">
        <v>12414</v>
      </c>
      <c r="B56" s="14">
        <v>43392.572662037041</v>
      </c>
      <c r="C56" s="13" t="s">
        <v>10</v>
      </c>
      <c r="D56" s="13" t="str">
        <f t="shared" si="2"/>
        <v>PRODOTTI ALIMENTARI</v>
      </c>
      <c r="E56" s="13" t="str">
        <f>"PELLEGRINI SPA"</f>
        <v>PELLEGRINI SPA</v>
      </c>
      <c r="F56" s="13" t="s">
        <v>16</v>
      </c>
      <c r="G56" s="15">
        <v>428.54</v>
      </c>
    </row>
    <row r="57" spans="1:7" ht="22.5" x14ac:dyDescent="0.25">
      <c r="A57" s="13">
        <v>12415</v>
      </c>
      <c r="B57" s="14">
        <v>43392.572662037041</v>
      </c>
      <c r="C57" s="13" t="s">
        <v>10</v>
      </c>
      <c r="D57" s="13" t="str">
        <f t="shared" si="2"/>
        <v>PRODOTTI ALIMENTARI</v>
      </c>
      <c r="E57" s="13" t="str">
        <f>"PELLEGRINI SPA"</f>
        <v>PELLEGRINI SPA</v>
      </c>
      <c r="F57" s="13" t="s">
        <v>16</v>
      </c>
      <c r="G57" s="15">
        <v>428.54</v>
      </c>
    </row>
    <row r="58" spans="1:7" ht="22.5" x14ac:dyDescent="0.25">
      <c r="A58" s="13">
        <v>12416</v>
      </c>
      <c r="B58" s="14">
        <v>43392.572662037041</v>
      </c>
      <c r="C58" s="13" t="s">
        <v>10</v>
      </c>
      <c r="D58" s="13" t="str">
        <f t="shared" si="2"/>
        <v>PRODOTTI ALIMENTARI</v>
      </c>
      <c r="E58" s="13" t="str">
        <f>"PELLEGRINI SPA"</f>
        <v>PELLEGRINI SPA</v>
      </c>
      <c r="F58" s="13" t="s">
        <v>16</v>
      </c>
      <c r="G58" s="15">
        <v>428.54</v>
      </c>
    </row>
    <row r="59" spans="1:7" ht="22.5" x14ac:dyDescent="0.25">
      <c r="A59" s="13">
        <v>12417</v>
      </c>
      <c r="B59" s="14">
        <v>43392.572662037041</v>
      </c>
      <c r="C59" s="13" t="s">
        <v>10</v>
      </c>
      <c r="D59" s="13" t="str">
        <f t="shared" si="2"/>
        <v>PRODOTTI ALIMENTARI</v>
      </c>
      <c r="E59" s="13" t="str">
        <f>"PELLEGRINI SPA"</f>
        <v>PELLEGRINI SPA</v>
      </c>
      <c r="F59" s="13" t="s">
        <v>16</v>
      </c>
      <c r="G59" s="15">
        <v>428.54</v>
      </c>
    </row>
    <row r="60" spans="1:7" ht="33.75" x14ac:dyDescent="0.25">
      <c r="A60" s="13">
        <v>12418</v>
      </c>
      <c r="B60" s="14">
        <v>43395.387789351851</v>
      </c>
      <c r="C60" s="13" t="s">
        <v>11</v>
      </c>
      <c r="D60" s="13" t="str">
        <f>"CONTRIBUTI OBBLIGATORI PER IL PERSONALE A TEMPO INDETERMINATO"</f>
        <v>CONTRIBUTI OBBLIGATORI PER IL PERSONALE A TEMPO INDETERMINATO</v>
      </c>
      <c r="E60" s="13" t="str">
        <f>"FONDO CREDITO CPS-CPDEL"</f>
        <v>FONDO CREDITO CPS-CPDEL</v>
      </c>
      <c r="F60" s="13" t="s">
        <v>18</v>
      </c>
      <c r="G60" s="15">
        <v>1190.25</v>
      </c>
    </row>
    <row r="61" spans="1:7" ht="33.75" x14ac:dyDescent="0.25">
      <c r="A61" s="13">
        <v>12419</v>
      </c>
      <c r="B61" s="14">
        <v>43395.387789351851</v>
      </c>
      <c r="C61" s="13" t="s">
        <v>11</v>
      </c>
      <c r="D61" s="13" t="str">
        <f>"RITENUTE ERARIALI SU INDENNITÀ A ORGANI ISTITUZIONALI E ALTRI COMPENSI"</f>
        <v>RITENUTE ERARIALI SU INDENNITÀ A ORGANI ISTITUZIONALI E ALTRI COMPENSI</v>
      </c>
      <c r="E61" s="13" t="str">
        <f>"FONDO CREDITO CPS-CPDEL"</f>
        <v>FONDO CREDITO CPS-CPDEL</v>
      </c>
      <c r="F61" s="13" t="s">
        <v>18</v>
      </c>
      <c r="G61" s="15">
        <v>1083.96</v>
      </c>
    </row>
    <row r="62" spans="1:7" ht="33.75" x14ac:dyDescent="0.25">
      <c r="A62" s="13">
        <v>12420</v>
      </c>
      <c r="B62" s="14">
        <v>43395.387789351851</v>
      </c>
      <c r="C62" s="13" t="s">
        <v>11</v>
      </c>
      <c r="D62" s="13" t="str">
        <f>"RITENUTE PREVIDENZIALI E ASSISTENZIALI AL PERSONALE A TEMPO DETERMINATO"</f>
        <v>RITENUTE PREVIDENZIALI E ASSISTENZIALI AL PERSONALE A TEMPO DETERMINATO</v>
      </c>
      <c r="E62" s="13" t="str">
        <f>"FONDO CREDITO CPS-CPDEL"</f>
        <v>FONDO CREDITO CPS-CPDEL</v>
      </c>
      <c r="F62" s="13" t="s">
        <v>18</v>
      </c>
      <c r="G62" s="15">
        <v>2893.96</v>
      </c>
    </row>
    <row r="63" spans="1:7" ht="33.75" x14ac:dyDescent="0.25">
      <c r="A63" s="13">
        <v>12421</v>
      </c>
      <c r="B63" s="14">
        <v>43395.387789351851</v>
      </c>
      <c r="C63" s="13" t="s">
        <v>11</v>
      </c>
      <c r="D63" s="13" t="str">
        <f>"RITENUTE PREVIDENZIALI E ASSISTENZIALI AL PERSONALE A TEMPO INDETERMINATO"</f>
        <v>RITENUTE PREVIDENZIALI E ASSISTENZIALI AL PERSONALE A TEMPO INDETERMINATO</v>
      </c>
      <c r="E63" s="13" t="str">
        <f>"FONDO CREDITO CPS-CPDEL"</f>
        <v>FONDO CREDITO CPS-CPDEL</v>
      </c>
      <c r="F63" s="13" t="s">
        <v>18</v>
      </c>
      <c r="G63" s="15">
        <v>8133.51</v>
      </c>
    </row>
    <row r="64" spans="1:7" ht="22.5" x14ac:dyDescent="0.25">
      <c r="A64" s="13">
        <v>12422</v>
      </c>
      <c r="B64" s="14">
        <v>43395.387800925928</v>
      </c>
      <c r="C64" s="13" t="s">
        <v>11</v>
      </c>
      <c r="D64" s="13" t="str">
        <f>"CONTRIB.PREV.SU IND.ORG.DIR.E COLLEGIO"</f>
        <v>CONTRIB.PREV.SU IND.ORG.DIR.E COLLEGIO</v>
      </c>
      <c r="E64" s="13" t="str">
        <f>"CPDEL ANNO 2018"</f>
        <v>CPDEL ANNO 2018</v>
      </c>
      <c r="F64" s="13" t="s">
        <v>18</v>
      </c>
      <c r="G64" s="15">
        <v>45439.09</v>
      </c>
    </row>
    <row r="65" spans="1:7" ht="22.5" x14ac:dyDescent="0.25">
      <c r="A65" s="13">
        <v>12423</v>
      </c>
      <c r="B65" s="14">
        <v>43395.387800925928</v>
      </c>
      <c r="C65" s="13" t="s">
        <v>11</v>
      </c>
      <c r="D65" s="13" t="str">
        <f>"CONTRIB.PREV.SU IND.ORG.DIR.E COLLEGIO"</f>
        <v>CONTRIB.PREV.SU IND.ORG.DIR.E COLLEGIO</v>
      </c>
      <c r="E65" s="13" t="str">
        <f>"INADEL ANNO 2018"</f>
        <v>INADEL ANNO 2018</v>
      </c>
      <c r="F65" s="13" t="s">
        <v>18</v>
      </c>
      <c r="G65" s="15">
        <v>9555.06</v>
      </c>
    </row>
    <row r="66" spans="1:7" ht="33.75" x14ac:dyDescent="0.25">
      <c r="A66" s="13">
        <v>12424</v>
      </c>
      <c r="B66" s="14">
        <v>43395.387800925928</v>
      </c>
      <c r="C66" s="13" t="s">
        <v>11</v>
      </c>
      <c r="D66" s="13" t="str">
        <f>"CONTRIBUTI OBBLIGATORI PER IL PERSONALE A TEMPO DETERMINATO"</f>
        <v>CONTRIBUTI OBBLIGATORI PER IL PERSONALE A TEMPO DETERMINATO</v>
      </c>
      <c r="E66" s="13" t="str">
        <f>"CPDEL ANNO 2018"</f>
        <v>CPDEL ANNO 2018</v>
      </c>
      <c r="F66" s="13" t="s">
        <v>18</v>
      </c>
      <c r="G66" s="15">
        <v>91081.48</v>
      </c>
    </row>
    <row r="67" spans="1:7" ht="33.75" x14ac:dyDescent="0.25">
      <c r="A67" s="13">
        <v>12425</v>
      </c>
      <c r="B67" s="14">
        <v>43395.387800925928</v>
      </c>
      <c r="C67" s="13" t="s">
        <v>11</v>
      </c>
      <c r="D67" s="13" t="str">
        <f>"CONTRIBUTI OBBLIGATORI PER IL PERSONALE A TEMPO DETERMINATO"</f>
        <v>CONTRIBUTI OBBLIGATORI PER IL PERSONALE A TEMPO DETERMINATO</v>
      </c>
      <c r="E67" s="13" t="str">
        <f>"CPS ANNO 2018"</f>
        <v>CPS ANNO 2018</v>
      </c>
      <c r="F67" s="13" t="s">
        <v>18</v>
      </c>
      <c r="G67" s="15">
        <v>38740.620000000003</v>
      </c>
    </row>
    <row r="68" spans="1:7" ht="33.75" x14ac:dyDescent="0.25">
      <c r="A68" s="13">
        <v>12426</v>
      </c>
      <c r="B68" s="14">
        <v>43395.387800925928</v>
      </c>
      <c r="C68" s="13" t="s">
        <v>11</v>
      </c>
      <c r="D68" s="13" t="str">
        <f>"CONTRIBUTI OBBLIGATORI PER IL PERSONALE A TEMPO DETERMINATO"</f>
        <v>CONTRIBUTI OBBLIGATORI PER IL PERSONALE A TEMPO DETERMINATO</v>
      </c>
      <c r="E68" s="13" t="str">
        <f>"INADEL ANNO 2018"</f>
        <v>INADEL ANNO 2018</v>
      </c>
      <c r="F68" s="13" t="s">
        <v>18</v>
      </c>
      <c r="G68" s="15">
        <v>16815.509999999998</v>
      </c>
    </row>
    <row r="69" spans="1:7" ht="33.75" x14ac:dyDescent="0.25">
      <c r="A69" s="13">
        <v>12427</v>
      </c>
      <c r="B69" s="14">
        <v>43395.387800925928</v>
      </c>
      <c r="C69" s="13" t="s">
        <v>11</v>
      </c>
      <c r="D69" s="13" t="str">
        <f>"CONTRIBUTI OBBLIGATORI PER IL PERSONALE A TEMPO INDETERMINATO"</f>
        <v>CONTRIBUTI OBBLIGATORI PER IL PERSONALE A TEMPO INDETERMINATO</v>
      </c>
      <c r="E69" s="13" t="str">
        <f>"CPDEL ANNO 2018"</f>
        <v>CPDEL ANNO 2018</v>
      </c>
      <c r="F69" s="13" t="s">
        <v>18</v>
      </c>
      <c r="G69" s="15">
        <v>332563.3</v>
      </c>
    </row>
    <row r="70" spans="1:7" ht="33.75" x14ac:dyDescent="0.25">
      <c r="A70" s="13">
        <v>12428</v>
      </c>
      <c r="B70" s="14">
        <v>43395.387800925928</v>
      </c>
      <c r="C70" s="13" t="s">
        <v>11</v>
      </c>
      <c r="D70" s="13" t="str">
        <f>"CONTRIBUTI OBBLIGATORI PER IL PERSONALE A TEMPO INDETERMINATO"</f>
        <v>CONTRIBUTI OBBLIGATORI PER IL PERSONALE A TEMPO INDETERMINATO</v>
      </c>
      <c r="E70" s="13" t="str">
        <f>"CPS ANNO 2018"</f>
        <v>CPS ANNO 2018</v>
      </c>
      <c r="F70" s="13" t="s">
        <v>18</v>
      </c>
      <c r="G70" s="15">
        <v>272343.33</v>
      </c>
    </row>
    <row r="71" spans="1:7" ht="33.75" x14ac:dyDescent="0.25">
      <c r="A71" s="13">
        <v>12429</v>
      </c>
      <c r="B71" s="14">
        <v>43395.387800925928</v>
      </c>
      <c r="C71" s="13" t="s">
        <v>11</v>
      </c>
      <c r="D71" s="13" t="str">
        <f>"CONTRIBUTI OBBLIGATORI PER IL PERSONALE A TEMPO INDETERMINATO"</f>
        <v>CONTRIBUTI OBBLIGATORI PER IL PERSONALE A TEMPO INDETERMINATO</v>
      </c>
      <c r="E71" s="13" t="str">
        <f>"INADEL ANNO 2018"</f>
        <v>INADEL ANNO 2018</v>
      </c>
      <c r="F71" s="13" t="s">
        <v>18</v>
      </c>
      <c r="G71" s="15">
        <v>79134.05</v>
      </c>
    </row>
    <row r="72" spans="1:7" ht="33.75" x14ac:dyDescent="0.25">
      <c r="A72" s="13">
        <v>12430</v>
      </c>
      <c r="B72" s="14">
        <v>43395.387800925928</v>
      </c>
      <c r="C72" s="13" t="s">
        <v>11</v>
      </c>
      <c r="D72" s="13" t="str">
        <f>"RITENUTE ERARIALI SU INDENNITÀ A ORGANI ISTITUZIONALI E ALTRI COMPENSI"</f>
        <v>RITENUTE ERARIALI SU INDENNITÀ A ORGANI ISTITUZIONALI E ALTRI COMPENSI</v>
      </c>
      <c r="E72" s="13" t="str">
        <f>"CPDEL ANNO 2018"</f>
        <v>CPDEL ANNO 2018</v>
      </c>
      <c r="F72" s="13" t="s">
        <v>18</v>
      </c>
      <c r="G72" s="15">
        <v>43599.92</v>
      </c>
    </row>
    <row r="73" spans="1:7" ht="33.75" x14ac:dyDescent="0.25">
      <c r="A73" s="13">
        <v>12431</v>
      </c>
      <c r="B73" s="14">
        <v>43395.387800925928</v>
      </c>
      <c r="C73" s="13" t="s">
        <v>11</v>
      </c>
      <c r="D73" s="13" t="str">
        <f>"RITENUTE ERARIALI SU INDENNITÀ A ORGANI ISTITUZIONALI E ALTRI COMPENSI"</f>
        <v>RITENUTE ERARIALI SU INDENNITÀ A ORGANI ISTITUZIONALI E ALTRI COMPENSI</v>
      </c>
      <c r="E73" s="13" t="str">
        <f>"INADEL ANNO 2018"</f>
        <v>INADEL ANNO 2018</v>
      </c>
      <c r="F73" s="13" t="s">
        <v>18</v>
      </c>
      <c r="G73" s="15">
        <v>9501.76</v>
      </c>
    </row>
    <row r="74" spans="1:7" ht="33.75" x14ac:dyDescent="0.25">
      <c r="A74" s="13">
        <v>12432</v>
      </c>
      <c r="B74" s="14">
        <v>43395.387800925928</v>
      </c>
      <c r="C74" s="13" t="s">
        <v>11</v>
      </c>
      <c r="D74" s="13" t="str">
        <f>"RITENUTE PREVIDENZIALI E ASSISTENZIALI AL PERSONALE A TEMPO DETERMINATO"</f>
        <v>RITENUTE PREVIDENZIALI E ASSISTENZIALI AL PERSONALE A TEMPO DETERMINATO</v>
      </c>
      <c r="E74" s="13" t="str">
        <f>"CPDEL ANNO 2018"</f>
        <v>CPDEL ANNO 2018</v>
      </c>
      <c r="F74" s="13" t="s">
        <v>18</v>
      </c>
      <c r="G74" s="15">
        <v>60481.15</v>
      </c>
    </row>
    <row r="75" spans="1:7" ht="33.75" x14ac:dyDescent="0.25">
      <c r="A75" s="13">
        <v>12433</v>
      </c>
      <c r="B75" s="14">
        <v>43395.387800925928</v>
      </c>
      <c r="C75" s="13" t="s">
        <v>11</v>
      </c>
      <c r="D75" s="13" t="str">
        <f>"RITENUTE PREVIDENZIALI E ASSISTENZIALI AL PERSONALE A TEMPO DETERMINATO"</f>
        <v>RITENUTE PREVIDENZIALI E ASSISTENZIALI AL PERSONALE A TEMPO DETERMINATO</v>
      </c>
      <c r="E75" s="13" t="str">
        <f>"CPS ANNO 2018"</f>
        <v>CPS ANNO 2018</v>
      </c>
      <c r="F75" s="13" t="s">
        <v>18</v>
      </c>
      <c r="G75" s="15">
        <v>35918.980000000003</v>
      </c>
    </row>
    <row r="76" spans="1:7" ht="33.75" x14ac:dyDescent="0.25">
      <c r="A76" s="13">
        <v>12434</v>
      </c>
      <c r="B76" s="14">
        <v>43395.387800925928</v>
      </c>
      <c r="C76" s="13" t="s">
        <v>11</v>
      </c>
      <c r="D76" s="13" t="str">
        <f>"RITENUTE PREVIDENZIALI E ASSISTENZIALI AL PERSONALE A TEMPO INDETERMINATO"</f>
        <v>RITENUTE PREVIDENZIALI E ASSISTENZIALI AL PERSONALE A TEMPO INDETERMINATO</v>
      </c>
      <c r="E76" s="13" t="str">
        <f>"CPDEL ANNO 2018"</f>
        <v>CPDEL ANNO 2018</v>
      </c>
      <c r="F76" s="13" t="s">
        <v>18</v>
      </c>
      <c r="G76" s="15">
        <v>205109.63</v>
      </c>
    </row>
    <row r="77" spans="1:7" ht="33.75" x14ac:dyDescent="0.25">
      <c r="A77" s="13">
        <v>12435</v>
      </c>
      <c r="B77" s="14">
        <v>43395.387800925928</v>
      </c>
      <c r="C77" s="13" t="s">
        <v>11</v>
      </c>
      <c r="D77" s="13" t="str">
        <f>"RITENUTE PREVIDENZIALI E ASSISTENZIALI AL PERSONALE A TEMPO INDETERMINATO"</f>
        <v>RITENUTE PREVIDENZIALI E ASSISTENZIALI AL PERSONALE A TEMPO INDETERMINATO</v>
      </c>
      <c r="E77" s="13" t="str">
        <f>"CPS ANNO 2018"</f>
        <v>CPS ANNO 2018</v>
      </c>
      <c r="F77" s="13" t="s">
        <v>18</v>
      </c>
      <c r="G77" s="15">
        <v>123427.94</v>
      </c>
    </row>
    <row r="78" spans="1:7" ht="33.75" x14ac:dyDescent="0.25">
      <c r="A78" s="13">
        <v>12436</v>
      </c>
      <c r="B78" s="14">
        <v>43395.387800925928</v>
      </c>
      <c r="C78" s="13" t="s">
        <v>11</v>
      </c>
      <c r="D78" s="13" t="str">
        <f>"RITENUTE PREVIDENZIALI E ASSISTENZIALI AL PERSONALE A TEMPO INDETERMINATO"</f>
        <v>RITENUTE PREVIDENZIALI E ASSISTENZIALI AL PERSONALE A TEMPO INDETERMINATO</v>
      </c>
      <c r="E78" s="13" t="str">
        <f>"INADEL ANNO 2018"</f>
        <v>INADEL ANNO 2018</v>
      </c>
      <c r="F78" s="13" t="s">
        <v>18</v>
      </c>
      <c r="G78" s="15">
        <v>33265.519999999997</v>
      </c>
    </row>
    <row r="79" spans="1:7" ht="22.5" x14ac:dyDescent="0.25">
      <c r="A79" s="13">
        <v>12437</v>
      </c>
      <c r="B79" s="14">
        <v>43396.40587962963</v>
      </c>
      <c r="C79" s="13" t="s">
        <v>10</v>
      </c>
      <c r="D79" s="13" t="str">
        <f>"CONSULENZE SANITARIE DA PRIVATO"</f>
        <v>CONSULENZE SANITARIE DA PRIVATO</v>
      </c>
      <c r="E79" s="13" t="str">
        <f>"CASARI SILVIA GABRIELLA"</f>
        <v>CASARI SILVIA GABRIELLA</v>
      </c>
      <c r="F79" s="13" t="s">
        <v>19</v>
      </c>
      <c r="G79" s="15">
        <v>2726.8</v>
      </c>
    </row>
    <row r="80" spans="1:7" ht="22.5" x14ac:dyDescent="0.25">
      <c r="A80" s="13">
        <v>12438</v>
      </c>
      <c r="B80" s="14">
        <v>43396.405891203707</v>
      </c>
      <c r="C80" s="13" t="s">
        <v>10</v>
      </c>
      <c r="D80" s="13" t="str">
        <f>"ALTRI SERVIZI SANITARI DA PRIVATI"</f>
        <v>ALTRI SERVIZI SANITARI DA PRIVATI</v>
      </c>
      <c r="E80" s="13" t="str">
        <f>"COOPERATIVA SOCIALE AMBRA S.C.P.A."</f>
        <v>COOPERATIVA SOCIALE AMBRA S.C.P.A.</v>
      </c>
      <c r="F80" s="13" t="str">
        <f>"ALTRI ACQU.SERV.E PREST.SAN.ALTRI SOG."</f>
        <v>ALTRI ACQU.SERV.E PREST.SAN.ALTRI SOG.</v>
      </c>
      <c r="G80" s="15">
        <v>3682.57</v>
      </c>
    </row>
    <row r="81" spans="1:7" ht="22.5" x14ac:dyDescent="0.25">
      <c r="A81" s="13">
        <v>12439</v>
      </c>
      <c r="B81" s="14">
        <v>43396.405891203707</v>
      </c>
      <c r="C81" s="13" t="s">
        <v>10</v>
      </c>
      <c r="D81" s="13" t="str">
        <f>"CONSULENZE SANITARIE DA PRIVATO"</f>
        <v>CONSULENZE SANITARIE DA PRIVATO</v>
      </c>
      <c r="E81" s="13" t="str">
        <f>"UGHI NICOLA"</f>
        <v>UGHI NICOLA</v>
      </c>
      <c r="F81" s="13" t="s">
        <v>19</v>
      </c>
      <c r="G81" s="15">
        <v>1302</v>
      </c>
    </row>
    <row r="82" spans="1:7" ht="22.5" x14ac:dyDescent="0.25">
      <c r="A82" s="13">
        <v>12440</v>
      </c>
      <c r="B82" s="14">
        <v>43396.405891203707</v>
      </c>
      <c r="C82" s="13" t="s">
        <v>10</v>
      </c>
      <c r="D82" s="13" t="str">
        <f>"CONSULENZE SANITARIE DA PRIVATO"</f>
        <v>CONSULENZE SANITARIE DA PRIVATO</v>
      </c>
      <c r="E82" s="13" t="str">
        <f>"UGHI NICOLA"</f>
        <v>UGHI NICOLA</v>
      </c>
      <c r="F82" s="13" t="s">
        <v>19</v>
      </c>
      <c r="G82" s="15">
        <v>2002</v>
      </c>
    </row>
    <row r="83" spans="1:7" ht="22.5" x14ac:dyDescent="0.25">
      <c r="A83" s="13">
        <v>12441</v>
      </c>
      <c r="B83" s="14">
        <v>43396.405891203707</v>
      </c>
      <c r="C83" s="13" t="s">
        <v>10</v>
      </c>
      <c r="D83" s="13" t="str">
        <f>"CONSULENZE SANITARIE DA PRIVATO"</f>
        <v>CONSULENZE SANITARIE DA PRIVATO</v>
      </c>
      <c r="E83" s="13" t="str">
        <f>"MANCINI NIKJ"</f>
        <v>MANCINI NIKJ</v>
      </c>
      <c r="F83" s="13" t="s">
        <v>19</v>
      </c>
      <c r="G83" s="15">
        <v>3522</v>
      </c>
    </row>
    <row r="84" spans="1:7" ht="22.5" x14ac:dyDescent="0.25">
      <c r="A84" s="13">
        <v>12442</v>
      </c>
      <c r="B84" s="14">
        <v>43396.405891203707</v>
      </c>
      <c r="C84" s="13" t="s">
        <v>10</v>
      </c>
      <c r="D84" s="13" t="str">
        <f>"CONSULENZE SANITARIE DA PRIVATO"</f>
        <v>CONSULENZE SANITARIE DA PRIVATO</v>
      </c>
      <c r="E84" s="13" t="str">
        <f>"SOARDI MARIA LUISA"</f>
        <v>SOARDI MARIA LUISA</v>
      </c>
      <c r="F84" s="13" t="str">
        <f>"CONS.CO.CO.,INTER.DA STUTT.SANIT.DA PRIV"</f>
        <v>CONS.CO.CO.,INTER.DA STUTT.SANIT.DA PRIV</v>
      </c>
      <c r="G84" s="15">
        <v>1146</v>
      </c>
    </row>
    <row r="85" spans="1:7" ht="22.5" x14ac:dyDescent="0.25">
      <c r="A85" s="13">
        <v>12443</v>
      </c>
      <c r="B85" s="14">
        <v>43396.405891203707</v>
      </c>
      <c r="C85" s="13" t="s">
        <v>10</v>
      </c>
      <c r="D85" s="13" t="str">
        <f>"PRESTAZIONI LEGALI E NOTARILI"</f>
        <v>PRESTAZIONI LEGALI E NOTARILI</v>
      </c>
      <c r="E85" s="13" t="str">
        <f>"R &amp; P LEGAL - ROSSOTTO COLOMBATTO &amp; PARTNERS"</f>
        <v>R &amp; P LEGAL - ROSSOTTO COLOMBATTO &amp; PARTNERS</v>
      </c>
      <c r="F85" s="13" t="s">
        <v>15</v>
      </c>
      <c r="G85" s="15">
        <v>3740.8</v>
      </c>
    </row>
    <row r="86" spans="1:7" ht="22.5" x14ac:dyDescent="0.25">
      <c r="A86" s="13">
        <v>12444</v>
      </c>
      <c r="B86" s="14">
        <v>43396.405891203707</v>
      </c>
      <c r="C86" s="13" t="s">
        <v>10</v>
      </c>
      <c r="D86" s="13" t="str">
        <f>"PRODOTTI ALIMENTARI"</f>
        <v>PRODOTTI ALIMENTARI</v>
      </c>
      <c r="E86" s="13" t="str">
        <f>"MARR SPA"</f>
        <v>MARR SPA</v>
      </c>
      <c r="F86" s="13" t="s">
        <v>16</v>
      </c>
      <c r="G86" s="15">
        <v>2333.85</v>
      </c>
    </row>
    <row r="87" spans="1:7" ht="22.5" x14ac:dyDescent="0.25">
      <c r="A87" s="13">
        <v>12445</v>
      </c>
      <c r="B87" s="14">
        <v>43396.405891203707</v>
      </c>
      <c r="C87" s="13" t="s">
        <v>10</v>
      </c>
      <c r="D87" s="13" t="str">
        <f>"PRODOTTI ALIMENTARI"</f>
        <v>PRODOTTI ALIMENTARI</v>
      </c>
      <c r="E87" s="13" t="str">
        <f>"MARR SPA"</f>
        <v>MARR SPA</v>
      </c>
      <c r="F87" s="13" t="s">
        <v>16</v>
      </c>
      <c r="G87" s="15">
        <v>1668.98</v>
      </c>
    </row>
    <row r="88" spans="1:7" ht="22.5" x14ac:dyDescent="0.25">
      <c r="A88" s="13">
        <v>12446</v>
      </c>
      <c r="B88" s="14">
        <v>43396.405902777777</v>
      </c>
      <c r="C88" s="13" t="s">
        <v>10</v>
      </c>
      <c r="D88" s="13" t="str">
        <f>"CARBURANTI E LUBRIFICANTI PER TRASPORTO"</f>
        <v>CARBURANTI E LUBRIFICANTI PER TRASPORTO</v>
      </c>
      <c r="E88" s="13" t="str">
        <f>"KUWAIT PETROLEUM ITALIA SPA"</f>
        <v>KUWAIT PETROLEUM ITALIA SPA</v>
      </c>
      <c r="F88" s="13" t="s">
        <v>14</v>
      </c>
      <c r="G88" s="15">
        <v>303.43</v>
      </c>
    </row>
    <row r="89" spans="1:7" ht="22.5" x14ac:dyDescent="0.25">
      <c r="A89" s="13">
        <v>12447</v>
      </c>
      <c r="B89" s="14">
        <v>43396.405902777777</v>
      </c>
      <c r="C89" s="13" t="s">
        <v>10</v>
      </c>
      <c r="D89" s="13" t="str">
        <f t="shared" ref="D89:D106" si="4">"PRODOTTI ALIMENTARI"</f>
        <v>PRODOTTI ALIMENTARI</v>
      </c>
      <c r="E89" s="13" t="str">
        <f>"MARR SPA"</f>
        <v>MARR SPA</v>
      </c>
      <c r="F89" s="13" t="s">
        <v>16</v>
      </c>
      <c r="G89" s="15">
        <v>108</v>
      </c>
    </row>
    <row r="90" spans="1:7" ht="22.5" x14ac:dyDescent="0.25">
      <c r="A90" s="13">
        <v>12448</v>
      </c>
      <c r="B90" s="14">
        <v>43396.405902777777</v>
      </c>
      <c r="C90" s="13" t="s">
        <v>10</v>
      </c>
      <c r="D90" s="13" t="str">
        <f t="shared" si="4"/>
        <v>PRODOTTI ALIMENTARI</v>
      </c>
      <c r="E90" s="13" t="str">
        <f t="shared" ref="E90:E95" si="5">"RICCI SRL - Forniture Alimentari"</f>
        <v>RICCI SRL - Forniture Alimentari</v>
      </c>
      <c r="F90" s="13" t="s">
        <v>16</v>
      </c>
      <c r="G90" s="15">
        <v>651.78</v>
      </c>
    </row>
    <row r="91" spans="1:7" ht="22.5" x14ac:dyDescent="0.25">
      <c r="A91" s="13">
        <v>12449</v>
      </c>
      <c r="B91" s="14">
        <v>43396.405902777777</v>
      </c>
      <c r="C91" s="13" t="s">
        <v>10</v>
      </c>
      <c r="D91" s="13" t="str">
        <f t="shared" si="4"/>
        <v>PRODOTTI ALIMENTARI</v>
      </c>
      <c r="E91" s="13" t="str">
        <f t="shared" si="5"/>
        <v>RICCI SRL - Forniture Alimentari</v>
      </c>
      <c r="F91" s="13" t="s">
        <v>16</v>
      </c>
      <c r="G91" s="15">
        <v>72.400000000000006</v>
      </c>
    </row>
    <row r="92" spans="1:7" ht="22.5" x14ac:dyDescent="0.25">
      <c r="A92" s="13">
        <v>12450</v>
      </c>
      <c r="B92" s="14">
        <v>43396.405902777777</v>
      </c>
      <c r="C92" s="13" t="s">
        <v>10</v>
      </c>
      <c r="D92" s="13" t="str">
        <f t="shared" si="4"/>
        <v>PRODOTTI ALIMENTARI</v>
      </c>
      <c r="E92" s="13" t="str">
        <f t="shared" si="5"/>
        <v>RICCI SRL - Forniture Alimentari</v>
      </c>
      <c r="F92" s="13" t="s">
        <v>16</v>
      </c>
      <c r="G92" s="15">
        <v>243.76</v>
      </c>
    </row>
    <row r="93" spans="1:7" ht="22.5" x14ac:dyDescent="0.25">
      <c r="A93" s="13">
        <v>12451</v>
      </c>
      <c r="B93" s="14">
        <v>43396.405902777777</v>
      </c>
      <c r="C93" s="13" t="s">
        <v>10</v>
      </c>
      <c r="D93" s="13" t="str">
        <f t="shared" si="4"/>
        <v>PRODOTTI ALIMENTARI</v>
      </c>
      <c r="E93" s="13" t="str">
        <f t="shared" si="5"/>
        <v>RICCI SRL - Forniture Alimentari</v>
      </c>
      <c r="F93" s="13" t="s">
        <v>16</v>
      </c>
      <c r="G93" s="15">
        <v>706.84</v>
      </c>
    </row>
    <row r="94" spans="1:7" ht="22.5" x14ac:dyDescent="0.25">
      <c r="A94" s="13">
        <v>12452</v>
      </c>
      <c r="B94" s="14">
        <v>43396.405902777777</v>
      </c>
      <c r="C94" s="13" t="s">
        <v>10</v>
      </c>
      <c r="D94" s="13" t="str">
        <f t="shared" si="4"/>
        <v>PRODOTTI ALIMENTARI</v>
      </c>
      <c r="E94" s="13" t="str">
        <f t="shared" si="5"/>
        <v>RICCI SRL - Forniture Alimentari</v>
      </c>
      <c r="F94" s="13" t="s">
        <v>16</v>
      </c>
      <c r="G94" s="15">
        <v>3495.43</v>
      </c>
    </row>
    <row r="95" spans="1:7" ht="22.5" x14ac:dyDescent="0.25">
      <c r="A95" s="13">
        <v>12453</v>
      </c>
      <c r="B95" s="14">
        <v>43396.405902777777</v>
      </c>
      <c r="C95" s="13" t="s">
        <v>10</v>
      </c>
      <c r="D95" s="13" t="str">
        <f t="shared" si="4"/>
        <v>PRODOTTI ALIMENTARI</v>
      </c>
      <c r="E95" s="13" t="str">
        <f t="shared" si="5"/>
        <v>RICCI SRL - Forniture Alimentari</v>
      </c>
      <c r="F95" s="13" t="s">
        <v>16</v>
      </c>
      <c r="G95" s="15">
        <v>4882.24</v>
      </c>
    </row>
    <row r="96" spans="1:7" ht="22.5" x14ac:dyDescent="0.25">
      <c r="A96" s="13">
        <v>12454</v>
      </c>
      <c r="B96" s="14">
        <v>43396.405902777777</v>
      </c>
      <c r="C96" s="13" t="s">
        <v>10</v>
      </c>
      <c r="D96" s="13" t="str">
        <f t="shared" si="4"/>
        <v>PRODOTTI ALIMENTARI</v>
      </c>
      <c r="E96" s="13" t="str">
        <f t="shared" ref="E96:E106" si="6">"TURRA ELIO Ortofrutta"</f>
        <v>TURRA ELIO Ortofrutta</v>
      </c>
      <c r="F96" s="13" t="s">
        <v>16</v>
      </c>
      <c r="G96" s="15">
        <v>110</v>
      </c>
    </row>
    <row r="97" spans="1:7" ht="22.5" x14ac:dyDescent="0.25">
      <c r="A97" s="13">
        <v>12455</v>
      </c>
      <c r="B97" s="14">
        <v>43396.405902777777</v>
      </c>
      <c r="C97" s="13" t="s">
        <v>10</v>
      </c>
      <c r="D97" s="13" t="str">
        <f t="shared" si="4"/>
        <v>PRODOTTI ALIMENTARI</v>
      </c>
      <c r="E97" s="13" t="str">
        <f t="shared" si="6"/>
        <v>TURRA ELIO Ortofrutta</v>
      </c>
      <c r="F97" s="13" t="s">
        <v>16</v>
      </c>
      <c r="G97" s="15">
        <v>1191.53</v>
      </c>
    </row>
    <row r="98" spans="1:7" ht="22.5" x14ac:dyDescent="0.25">
      <c r="A98" s="13">
        <v>12456</v>
      </c>
      <c r="B98" s="14">
        <v>43396.405902777777</v>
      </c>
      <c r="C98" s="13" t="s">
        <v>10</v>
      </c>
      <c r="D98" s="13" t="str">
        <f t="shared" si="4"/>
        <v>PRODOTTI ALIMENTARI</v>
      </c>
      <c r="E98" s="13" t="str">
        <f t="shared" si="6"/>
        <v>TURRA ELIO Ortofrutta</v>
      </c>
      <c r="F98" s="13" t="s">
        <v>16</v>
      </c>
      <c r="G98" s="15">
        <v>1498.96</v>
      </c>
    </row>
    <row r="99" spans="1:7" ht="22.5" x14ac:dyDescent="0.25">
      <c r="A99" s="13">
        <v>12457</v>
      </c>
      <c r="B99" s="14">
        <v>43396.405902777777</v>
      </c>
      <c r="C99" s="13" t="s">
        <v>10</v>
      </c>
      <c r="D99" s="13" t="str">
        <f t="shared" si="4"/>
        <v>PRODOTTI ALIMENTARI</v>
      </c>
      <c r="E99" s="13" t="str">
        <f t="shared" si="6"/>
        <v>TURRA ELIO Ortofrutta</v>
      </c>
      <c r="F99" s="13" t="s">
        <v>16</v>
      </c>
      <c r="G99" s="15">
        <v>241.25</v>
      </c>
    </row>
    <row r="100" spans="1:7" ht="22.5" x14ac:dyDescent="0.25">
      <c r="A100" s="13">
        <v>12458</v>
      </c>
      <c r="B100" s="14">
        <v>43396.405902777777</v>
      </c>
      <c r="C100" s="13" t="s">
        <v>10</v>
      </c>
      <c r="D100" s="13" t="str">
        <f t="shared" si="4"/>
        <v>PRODOTTI ALIMENTARI</v>
      </c>
      <c r="E100" s="13" t="str">
        <f t="shared" si="6"/>
        <v>TURRA ELIO Ortofrutta</v>
      </c>
      <c r="F100" s="13" t="s">
        <v>16</v>
      </c>
      <c r="G100" s="15">
        <v>1133.6099999999999</v>
      </c>
    </row>
    <row r="101" spans="1:7" ht="22.5" x14ac:dyDescent="0.25">
      <c r="A101" s="13">
        <v>12459</v>
      </c>
      <c r="B101" s="14">
        <v>43396.405902777777</v>
      </c>
      <c r="C101" s="13" t="s">
        <v>10</v>
      </c>
      <c r="D101" s="13" t="str">
        <f t="shared" si="4"/>
        <v>PRODOTTI ALIMENTARI</v>
      </c>
      <c r="E101" s="13" t="str">
        <f t="shared" si="6"/>
        <v>TURRA ELIO Ortofrutta</v>
      </c>
      <c r="F101" s="13" t="s">
        <v>16</v>
      </c>
      <c r="G101" s="15">
        <v>166.25</v>
      </c>
    </row>
    <row r="102" spans="1:7" ht="22.5" x14ac:dyDescent="0.25">
      <c r="A102" s="13">
        <v>12460</v>
      </c>
      <c r="B102" s="14">
        <v>43396.405902777777</v>
      </c>
      <c r="C102" s="13" t="s">
        <v>10</v>
      </c>
      <c r="D102" s="13" t="str">
        <f t="shared" si="4"/>
        <v>PRODOTTI ALIMENTARI</v>
      </c>
      <c r="E102" s="13" t="str">
        <f t="shared" si="6"/>
        <v>TURRA ELIO Ortofrutta</v>
      </c>
      <c r="F102" s="13" t="s">
        <v>16</v>
      </c>
      <c r="G102" s="15">
        <v>160</v>
      </c>
    </row>
    <row r="103" spans="1:7" ht="22.5" x14ac:dyDescent="0.25">
      <c r="A103" s="13">
        <v>12461</v>
      </c>
      <c r="B103" s="14">
        <v>43396.405902777777</v>
      </c>
      <c r="C103" s="13" t="s">
        <v>10</v>
      </c>
      <c r="D103" s="13" t="str">
        <f t="shared" si="4"/>
        <v>PRODOTTI ALIMENTARI</v>
      </c>
      <c r="E103" s="13" t="str">
        <f t="shared" si="6"/>
        <v>TURRA ELIO Ortofrutta</v>
      </c>
      <c r="F103" s="13" t="s">
        <v>16</v>
      </c>
      <c r="G103" s="15">
        <v>180</v>
      </c>
    </row>
    <row r="104" spans="1:7" ht="22.5" x14ac:dyDescent="0.25">
      <c r="A104" s="13">
        <v>12462</v>
      </c>
      <c r="B104" s="14">
        <v>43396.405902777777</v>
      </c>
      <c r="C104" s="13" t="s">
        <v>10</v>
      </c>
      <c r="D104" s="13" t="str">
        <f t="shared" si="4"/>
        <v>PRODOTTI ALIMENTARI</v>
      </c>
      <c r="E104" s="13" t="str">
        <f t="shared" si="6"/>
        <v>TURRA ELIO Ortofrutta</v>
      </c>
      <c r="F104" s="13" t="s">
        <v>16</v>
      </c>
      <c r="G104" s="15">
        <v>155</v>
      </c>
    </row>
    <row r="105" spans="1:7" ht="22.5" x14ac:dyDescent="0.25">
      <c r="A105" s="13">
        <v>12463</v>
      </c>
      <c r="B105" s="14">
        <v>43396.405902777777</v>
      </c>
      <c r="C105" s="13" t="s">
        <v>10</v>
      </c>
      <c r="D105" s="13" t="str">
        <f t="shared" si="4"/>
        <v>PRODOTTI ALIMENTARI</v>
      </c>
      <c r="E105" s="13" t="str">
        <f t="shared" si="6"/>
        <v>TURRA ELIO Ortofrutta</v>
      </c>
      <c r="F105" s="13" t="s">
        <v>16</v>
      </c>
      <c r="G105" s="15">
        <v>90</v>
      </c>
    </row>
    <row r="106" spans="1:7" ht="22.5" x14ac:dyDescent="0.25">
      <c r="A106" s="13">
        <v>12464</v>
      </c>
      <c r="B106" s="14">
        <v>43396.405902777777</v>
      </c>
      <c r="C106" s="13" t="s">
        <v>10</v>
      </c>
      <c r="D106" s="13" t="str">
        <f t="shared" si="4"/>
        <v>PRODOTTI ALIMENTARI</v>
      </c>
      <c r="E106" s="13" t="str">
        <f t="shared" si="6"/>
        <v>TURRA ELIO Ortofrutta</v>
      </c>
      <c r="F106" s="13" t="s">
        <v>16</v>
      </c>
      <c r="G106" s="15">
        <v>1006.11</v>
      </c>
    </row>
    <row r="107" spans="1:7" ht="22.5" x14ac:dyDescent="0.25">
      <c r="A107" s="13">
        <v>12465</v>
      </c>
      <c r="B107" s="14">
        <v>43396.405902777777</v>
      </c>
      <c r="C107" s="13" t="s">
        <v>10</v>
      </c>
      <c r="D107" s="13" t="str">
        <f>"PRODOTTI FARMACEUTICI SENZA AIC"</f>
        <v>PRODOTTI FARMACEUTICI SENZA AIC</v>
      </c>
      <c r="E107" s="13" t="str">
        <f>"NUOVA FARMACIA BERETTA di Silvia Bassi &amp; C."</f>
        <v>NUOVA FARMACIA BERETTA di Silvia Bassi &amp; C.</v>
      </c>
      <c r="F107" s="13" t="s">
        <v>14</v>
      </c>
      <c r="G107" s="15">
        <v>1591.64</v>
      </c>
    </row>
    <row r="108" spans="1:7" ht="22.5" x14ac:dyDescent="0.25">
      <c r="A108" s="13">
        <v>12466</v>
      </c>
      <c r="B108" s="14">
        <v>43396.405914351853</v>
      </c>
      <c r="C108" s="13" t="s">
        <v>10</v>
      </c>
      <c r="D108" s="13" t="str">
        <f>"ALTRI SERVIZI"</f>
        <v>ALTRI SERVIZI</v>
      </c>
      <c r="E108" s="13" t="str">
        <f>"FASTWEB SPA a Socio Unico"</f>
        <v>FASTWEB SPA a Socio Unico</v>
      </c>
      <c r="F108" s="13" t="str">
        <f>"ALTRE SPESE PER SERV.NON SANITARI"</f>
        <v>ALTRE SPESE PER SERV.NON SANITARI</v>
      </c>
      <c r="G108" s="15">
        <v>11016.66</v>
      </c>
    </row>
    <row r="109" spans="1:7" ht="22.5" x14ac:dyDescent="0.25">
      <c r="A109" s="13">
        <v>12467</v>
      </c>
      <c r="B109" s="14">
        <v>43396.405914351853</v>
      </c>
      <c r="C109" s="13" t="s">
        <v>10</v>
      </c>
      <c r="D109" s="13" t="str">
        <f>"ALTRI SERVIZI"</f>
        <v>ALTRI SERVIZI</v>
      </c>
      <c r="E109" s="13" t="str">
        <f>"FASTWEB SPA a Socio Unico"</f>
        <v>FASTWEB SPA a Socio Unico</v>
      </c>
      <c r="F109" s="13" t="str">
        <f>"ALTRE SPESE PER SERV.NON SANITARI"</f>
        <v>ALTRE SPESE PER SERV.NON SANITARI</v>
      </c>
      <c r="G109" s="15">
        <v>11016.66</v>
      </c>
    </row>
    <row r="110" spans="1:7" ht="22.5" x14ac:dyDescent="0.25">
      <c r="A110" s="13">
        <v>12468</v>
      </c>
      <c r="B110" s="14">
        <v>43396.405914351853</v>
      </c>
      <c r="C110" s="13" t="s">
        <v>10</v>
      </c>
      <c r="D110" s="13" t="str">
        <f>"DEPOSITI CAUZIONALI ARMADIETTO/BADGE"</f>
        <v>DEPOSITI CAUZIONALI ARMADIETTO/BADGE</v>
      </c>
      <c r="E110" s="13" t="str">
        <f>"BERETTA RONNI"</f>
        <v>BERETTA RONNI</v>
      </c>
      <c r="F110" s="13" t="str">
        <f>"Restituzione deposito cauzionale"</f>
        <v>Restituzione deposito cauzionale</v>
      </c>
      <c r="G110" s="15">
        <v>70</v>
      </c>
    </row>
    <row r="111" spans="1:7" ht="22.5" x14ac:dyDescent="0.25">
      <c r="A111" s="13">
        <v>12469</v>
      </c>
      <c r="B111" s="14">
        <v>43396.405914351853</v>
      </c>
      <c r="C111" s="13" t="s">
        <v>10</v>
      </c>
      <c r="D111" s="13" t="str">
        <f>"DEPOSITI CAUZIONALI ARMADIETTO/BADGE"</f>
        <v>DEPOSITI CAUZIONALI ARMADIETTO/BADGE</v>
      </c>
      <c r="E111" s="13" t="str">
        <f>"COLETTA PAOLO"</f>
        <v>COLETTA PAOLO</v>
      </c>
      <c r="F111" s="13" t="str">
        <f>"Restituzione deposito cauzionale"</f>
        <v>Restituzione deposito cauzionale</v>
      </c>
      <c r="G111" s="15">
        <v>70</v>
      </c>
    </row>
    <row r="112" spans="1:7" ht="22.5" x14ac:dyDescent="0.25">
      <c r="A112" s="13">
        <v>12470</v>
      </c>
      <c r="B112" s="14">
        <v>43396.405914351853</v>
      </c>
      <c r="C112" s="13" t="s">
        <v>10</v>
      </c>
      <c r="D112" s="13" t="str">
        <f>"DEPOSITI CAUZIONALI ARMADIETTO/BADGE"</f>
        <v>DEPOSITI CAUZIONALI ARMADIETTO/BADGE</v>
      </c>
      <c r="E112" s="13" t="str">
        <f>"LICCIARDELLO LUCA"</f>
        <v>LICCIARDELLO LUCA</v>
      </c>
      <c r="F112" s="13" t="str">
        <f>"Restituzione deposito cauzionale"</f>
        <v>Restituzione deposito cauzionale</v>
      </c>
      <c r="G112" s="15">
        <v>20</v>
      </c>
    </row>
    <row r="113" spans="1:7" ht="22.5" x14ac:dyDescent="0.25">
      <c r="A113" s="13">
        <v>12471</v>
      </c>
      <c r="B113" s="14">
        <v>43396.405914351853</v>
      </c>
      <c r="C113" s="13" t="s">
        <v>10</v>
      </c>
      <c r="D113" s="13" t="str">
        <f>"FT RIC EDWARDS LIFESCIENCES ITALIA SPA"</f>
        <v>FT RIC EDWARDS LIFESCIENCES ITALIA SPA</v>
      </c>
      <c r="E113" s="13" t="str">
        <f>"EDWARDS LIFESCIENCES ITALIA SPA"</f>
        <v>EDWARDS LIFESCIENCES ITALIA SPA</v>
      </c>
      <c r="F113" s="13" t="s">
        <v>14</v>
      </c>
      <c r="G113" s="15">
        <v>464</v>
      </c>
    </row>
    <row r="114" spans="1:7" ht="22.5" x14ac:dyDescent="0.25">
      <c r="A114" s="13">
        <v>12472</v>
      </c>
      <c r="B114" s="14">
        <v>43396.405914351853</v>
      </c>
      <c r="C114" s="13" t="s">
        <v>10</v>
      </c>
      <c r="D114" s="13" t="str">
        <f>"FT RIC EDWARDS LIFESCIENCES ITALIA SPA"</f>
        <v>FT RIC EDWARDS LIFESCIENCES ITALIA SPA</v>
      </c>
      <c r="E114" s="13" t="str">
        <f>"EDWARDS LIFESCIENCES ITALIA SPA"</f>
        <v>EDWARDS LIFESCIENCES ITALIA SPA</v>
      </c>
      <c r="F114" s="13" t="s">
        <v>14</v>
      </c>
      <c r="G114" s="15">
        <v>232</v>
      </c>
    </row>
    <row r="115" spans="1:7" ht="22.5" x14ac:dyDescent="0.25">
      <c r="A115" s="13">
        <v>12473</v>
      </c>
      <c r="B115" s="14">
        <v>43396.405914351853</v>
      </c>
      <c r="C115" s="13" t="s">
        <v>10</v>
      </c>
      <c r="D115" s="13" t="str">
        <f>"TELEFONO"</f>
        <v>TELEFONO</v>
      </c>
      <c r="E115" s="13" t="str">
        <f>"FASTWEB SPA a Socio Unico"</f>
        <v>FASTWEB SPA a Socio Unico</v>
      </c>
      <c r="F115" s="13" t="s">
        <v>20</v>
      </c>
      <c r="G115" s="15">
        <v>16268.56</v>
      </c>
    </row>
    <row r="116" spans="1:7" ht="22.5" x14ac:dyDescent="0.25">
      <c r="A116" s="13">
        <v>12474</v>
      </c>
      <c r="B116" s="14">
        <v>43396.468159722222</v>
      </c>
      <c r="C116" s="13" t="s">
        <v>10</v>
      </c>
      <c r="D116" s="13" t="str">
        <f t="shared" ref="D116:D122" si="7">"DEPOSITI CAUZIONALI ARMADIETTO/BADGE"</f>
        <v>DEPOSITI CAUZIONALI ARMADIETTO/BADGE</v>
      </c>
      <c r="E116" s="13" t="str">
        <f>"RIBATTI PIETRO"</f>
        <v>RIBATTI PIETRO</v>
      </c>
      <c r="F116" s="13" t="str">
        <f t="shared" ref="F116:F122" si="8">"Restituzione deposito cauzionale"</f>
        <v>Restituzione deposito cauzionale</v>
      </c>
      <c r="G116" s="15">
        <v>70</v>
      </c>
    </row>
    <row r="117" spans="1:7" ht="22.5" x14ac:dyDescent="0.25">
      <c r="A117" s="13">
        <v>12475</v>
      </c>
      <c r="B117" s="14">
        <v>43396.486296296294</v>
      </c>
      <c r="C117" s="13" t="s">
        <v>10</v>
      </c>
      <c r="D117" s="13" t="str">
        <f t="shared" si="7"/>
        <v>DEPOSITI CAUZIONALI ARMADIETTO/BADGE</v>
      </c>
      <c r="E117" s="13" t="str">
        <f>"FANTUCCI MATTEO"</f>
        <v>FANTUCCI MATTEO</v>
      </c>
      <c r="F117" s="13" t="str">
        <f t="shared" si="8"/>
        <v>Restituzione deposito cauzionale</v>
      </c>
      <c r="G117" s="15">
        <v>20</v>
      </c>
    </row>
    <row r="118" spans="1:7" ht="22.5" x14ac:dyDescent="0.25">
      <c r="A118" s="13">
        <v>12476</v>
      </c>
      <c r="B118" s="14">
        <v>43396.486481481479</v>
      </c>
      <c r="C118" s="13" t="s">
        <v>10</v>
      </c>
      <c r="D118" s="13" t="str">
        <f t="shared" si="7"/>
        <v>DEPOSITI CAUZIONALI ARMADIETTO/BADGE</v>
      </c>
      <c r="E118" s="13" t="str">
        <f>"CHIODA CHIARA"</f>
        <v>CHIODA CHIARA</v>
      </c>
      <c r="F118" s="13" t="str">
        <f t="shared" si="8"/>
        <v>Restituzione deposito cauzionale</v>
      </c>
      <c r="G118" s="15">
        <v>70</v>
      </c>
    </row>
    <row r="119" spans="1:7" ht="22.5" x14ac:dyDescent="0.25">
      <c r="A119" s="13">
        <v>12477</v>
      </c>
      <c r="B119" s="14">
        <v>43396.486620370371</v>
      </c>
      <c r="C119" s="13" t="s">
        <v>10</v>
      </c>
      <c r="D119" s="13" t="str">
        <f t="shared" si="7"/>
        <v>DEPOSITI CAUZIONALI ARMADIETTO/BADGE</v>
      </c>
      <c r="E119" s="13" t="str">
        <f>"TARDA RICCARDO"</f>
        <v>TARDA RICCARDO</v>
      </c>
      <c r="F119" s="13" t="str">
        <f t="shared" si="8"/>
        <v>Restituzione deposito cauzionale</v>
      </c>
      <c r="G119" s="15">
        <v>70</v>
      </c>
    </row>
    <row r="120" spans="1:7" ht="22.5" x14ac:dyDescent="0.25">
      <c r="A120" s="13">
        <v>12478</v>
      </c>
      <c r="B120" s="14">
        <v>43396.486678240741</v>
      </c>
      <c r="C120" s="13" t="s">
        <v>10</v>
      </c>
      <c r="D120" s="13" t="str">
        <f t="shared" si="7"/>
        <v>DEPOSITI CAUZIONALI ARMADIETTO/BADGE</v>
      </c>
      <c r="E120" s="13" t="str">
        <f>"VILLA STEFANO"</f>
        <v>VILLA STEFANO</v>
      </c>
      <c r="F120" s="13" t="str">
        <f t="shared" si="8"/>
        <v>Restituzione deposito cauzionale</v>
      </c>
      <c r="G120" s="15">
        <v>70</v>
      </c>
    </row>
    <row r="121" spans="1:7" ht="22.5" x14ac:dyDescent="0.25">
      <c r="A121" s="13">
        <v>12479</v>
      </c>
      <c r="B121" s="14">
        <v>43398.673703703702</v>
      </c>
      <c r="C121" s="13" t="s">
        <v>10</v>
      </c>
      <c r="D121" s="13" t="str">
        <f t="shared" si="7"/>
        <v>DEPOSITI CAUZIONALI ARMADIETTO/BADGE</v>
      </c>
      <c r="E121" s="13" t="str">
        <f>"BASSI MATTEO GIACOMO"</f>
        <v>BASSI MATTEO GIACOMO</v>
      </c>
      <c r="F121" s="13" t="str">
        <f t="shared" si="8"/>
        <v>Restituzione deposito cauzionale</v>
      </c>
      <c r="G121" s="15">
        <v>70</v>
      </c>
    </row>
    <row r="122" spans="1:7" ht="22.5" x14ac:dyDescent="0.25">
      <c r="A122" s="13">
        <v>12480</v>
      </c>
      <c r="B122" s="14">
        <v>43398.673703703702</v>
      </c>
      <c r="C122" s="13" t="s">
        <v>10</v>
      </c>
      <c r="D122" s="13" t="str">
        <f t="shared" si="7"/>
        <v>DEPOSITI CAUZIONALI ARMADIETTO/BADGE</v>
      </c>
      <c r="E122" s="13" t="str">
        <f>"TONDO ANTONIO"</f>
        <v>TONDO ANTONIO</v>
      </c>
      <c r="F122" s="13" t="str">
        <f t="shared" si="8"/>
        <v>Restituzione deposito cauzionale</v>
      </c>
      <c r="G122" s="15">
        <v>70</v>
      </c>
    </row>
    <row r="123" spans="1:7" ht="22.5" x14ac:dyDescent="0.25">
      <c r="A123" s="13">
        <v>12481</v>
      </c>
      <c r="B123" s="14">
        <v>43398.673703703702</v>
      </c>
      <c r="C123" s="13" t="s">
        <v>11</v>
      </c>
      <c r="D123" s="13" t="str">
        <f>"SPESE GESTIONE PATRIMONIO"</f>
        <v>SPESE GESTIONE PATRIMONIO</v>
      </c>
      <c r="E123" s="13" t="str">
        <f>"CONDOMINIO P.TA VIGENTINA 6"</f>
        <v>CONDOMINIO P.TA VIGENTINA 6</v>
      </c>
      <c r="F123" s="13" t="str">
        <f>"Gestione straordinaria ripristino cortili"</f>
        <v>Gestione straordinaria ripristino cortili</v>
      </c>
      <c r="G123" s="15">
        <v>3266.69</v>
      </c>
    </row>
    <row r="124" spans="1:7" ht="22.5" x14ac:dyDescent="0.25">
      <c r="A124" s="13">
        <v>12482</v>
      </c>
      <c r="B124" s="14">
        <v>43398.673703703702</v>
      </c>
      <c r="C124" s="13" t="s">
        <v>11</v>
      </c>
      <c r="D124" s="13" t="str">
        <f>"SPESE GESTIONE PATRIMONIO"</f>
        <v>SPESE GESTIONE PATRIMONIO</v>
      </c>
      <c r="E124" s="13" t="str">
        <f>"CONDOMINIO P.TA VIGENTINA 6"</f>
        <v>CONDOMINIO P.TA VIGENTINA 6</v>
      </c>
      <c r="F124" s="13" t="str">
        <f>"III RATA ANNO 2018 + CONG.2017"</f>
        <v>III RATA ANNO 2018 + CONG.2017</v>
      </c>
      <c r="G124" s="15">
        <v>3150.56</v>
      </c>
    </row>
    <row r="125" spans="1:7" ht="22.5" x14ac:dyDescent="0.25">
      <c r="A125" s="13">
        <v>12483</v>
      </c>
      <c r="B125" s="14">
        <v>43398.673703703702</v>
      </c>
      <c r="C125" s="13" t="s">
        <v>11</v>
      </c>
      <c r="D125" s="13" t="str">
        <f>"SPESE GESTIONE PATRIMONIO"</f>
        <v>SPESE GESTIONE PATRIMONIO</v>
      </c>
      <c r="E125" s="13" t="str">
        <f>"CONDOMINIO VIA PREDABISSI 4"</f>
        <v>CONDOMINIO VIA PREDABISSI 4</v>
      </c>
      <c r="F125" s="13" t="str">
        <f>"IV RATA 2018"</f>
        <v>IV RATA 2018</v>
      </c>
      <c r="G125" s="15">
        <v>2437.5</v>
      </c>
    </row>
    <row r="126" spans="1:7" ht="22.5" x14ac:dyDescent="0.25">
      <c r="A126" s="13">
        <v>12484</v>
      </c>
      <c r="B126" s="14">
        <v>43398.673703703702</v>
      </c>
      <c r="C126" s="13" t="s">
        <v>11</v>
      </c>
      <c r="D126" s="13" t="str">
        <f>"SPESE GESTIONE PATRIMONIO"</f>
        <v>SPESE GESTIONE PATRIMONIO</v>
      </c>
      <c r="E126" s="13" t="str">
        <f>"CONDOMINIO VIA RUSSO 15"</f>
        <v>CONDOMINIO VIA RUSSO 15</v>
      </c>
      <c r="F126" s="13" t="str">
        <f>"II RATA 2018"</f>
        <v>II RATA 2018</v>
      </c>
      <c r="G126" s="15">
        <v>177.84</v>
      </c>
    </row>
    <row r="127" spans="1:7" ht="22.5" x14ac:dyDescent="0.25">
      <c r="A127" s="13">
        <v>12485</v>
      </c>
      <c r="B127" s="14">
        <v>43398.673715277779</v>
      </c>
      <c r="C127" s="13" t="s">
        <v>10</v>
      </c>
      <c r="D127" s="13" t="str">
        <f>"Pagamento bollo virtuale contratto anno 2018"</f>
        <v>Pagamento bollo virtuale contratto anno 2018</v>
      </c>
      <c r="E127" s="13" t="str">
        <f>"ATS DELLA CITTA' METROPOLITANA DI MILANO"</f>
        <v>ATS DELLA CITTA' METROPOLITANA DI MILANO</v>
      </c>
      <c r="F127" s="13" t="str">
        <f>"Pagamento bollo virtuale contratto anno 2018"</f>
        <v>Pagamento bollo virtuale contratto anno 2018</v>
      </c>
      <c r="G127" s="15">
        <v>96</v>
      </c>
    </row>
    <row r="128" spans="1:7" ht="22.5" x14ac:dyDescent="0.25">
      <c r="A128" s="13">
        <v>12486</v>
      </c>
      <c r="B128" s="14">
        <v>43398.673715277779</v>
      </c>
      <c r="C128" s="13" t="s">
        <v>11</v>
      </c>
      <c r="D128" s="13" t="str">
        <f>"CONCESSIONE DI MILANO A PER IVA"</f>
        <v>CONCESSIONE DI MILANO A PER IVA</v>
      </c>
      <c r="E128" s="13" t="str">
        <f>"CONCESSIONE MILANO A"</f>
        <v>CONCESSIONE MILANO A</v>
      </c>
      <c r="F128" s="13" t="str">
        <f>"VERSAMENTO IVA CTO MESE DI SETTEMBRE 2018"</f>
        <v>VERSAMENTO IVA CTO MESE DI SETTEMBRE 2018</v>
      </c>
      <c r="G128" s="15">
        <v>74.2</v>
      </c>
    </row>
    <row r="129" spans="1:7" ht="22.5" x14ac:dyDescent="0.25">
      <c r="A129" s="13">
        <v>12487</v>
      </c>
      <c r="B129" s="14">
        <v>43398.673715277779</v>
      </c>
      <c r="C129" s="13" t="s">
        <v>10</v>
      </c>
      <c r="D129" s="13" t="str">
        <f>"DEPOSITI CAUZIONALI CONVITTO"</f>
        <v>DEPOSITI CAUZIONALI CONVITTO</v>
      </c>
      <c r="E129" s="13" t="str">
        <f>"SICO VALERIA"</f>
        <v>SICO VALERIA</v>
      </c>
      <c r="F129" s="13" t="str">
        <f>"Restituzione deposito cauzionale"</f>
        <v>Restituzione deposito cauzionale</v>
      </c>
      <c r="G129" s="15">
        <v>150</v>
      </c>
    </row>
    <row r="130" spans="1:7" ht="22.5" x14ac:dyDescent="0.25">
      <c r="A130" s="13">
        <v>12488</v>
      </c>
      <c r="B130" s="14">
        <v>43398.673715277779</v>
      </c>
      <c r="C130" s="13" t="s">
        <v>11</v>
      </c>
      <c r="D130" s="13" t="str">
        <f>"IVA SPLIT PAYMENT"</f>
        <v>IVA SPLIT PAYMENT</v>
      </c>
      <c r="E130" s="13" t="str">
        <f>"CONCESSIONE MILANO A"</f>
        <v>CONCESSIONE MILANO A</v>
      </c>
      <c r="F130" s="13" t="str">
        <f>"VERSAMENTO IVA MESE SETTEMBRE 2018"</f>
        <v>VERSAMENTO IVA MESE SETTEMBRE 2018</v>
      </c>
      <c r="G130" s="15">
        <v>827047.1</v>
      </c>
    </row>
    <row r="131" spans="1:7" ht="22.5" x14ac:dyDescent="0.25">
      <c r="A131" s="13">
        <v>12489</v>
      </c>
      <c r="B131" s="14">
        <v>43398.673715277779</v>
      </c>
      <c r="C131" s="13" t="s">
        <v>11</v>
      </c>
      <c r="D131" s="13" t="str">
        <f>"SPESE GESTIONE PATRIMONIO"</f>
        <v>SPESE GESTIONE PATRIMONIO</v>
      </c>
      <c r="E131" s="13" t="str">
        <f>"CONDOMINIO VIGENTINA 10"</f>
        <v>CONDOMINIO VIGENTINA 10</v>
      </c>
      <c r="F131" s="13" t="str">
        <f>"IV RATA 2018"</f>
        <v>IV RATA 2018</v>
      </c>
      <c r="G131" s="15">
        <v>408.08</v>
      </c>
    </row>
    <row r="132" spans="1:7" ht="22.5" x14ac:dyDescent="0.25">
      <c r="A132" s="13">
        <v>12490</v>
      </c>
      <c r="B132" s="14">
        <v>43398.687951388885</v>
      </c>
      <c r="C132" s="13" t="s">
        <v>10</v>
      </c>
      <c r="D132" s="13" t="str">
        <f>"DEPOSITI CAUZIONALI CONVITTO"</f>
        <v>DEPOSITI CAUZIONALI CONVITTO</v>
      </c>
      <c r="E132" s="13" t="str">
        <f>"IMPROTA ROSA ANNA"</f>
        <v>IMPROTA ROSA ANNA</v>
      </c>
      <c r="F132" s="13" t="str">
        <f>"Restituzione deposito cauzionale"</f>
        <v>Restituzione deposito cauzionale</v>
      </c>
      <c r="G132" s="15">
        <v>150</v>
      </c>
    </row>
    <row r="133" spans="1:7" ht="22.5" x14ac:dyDescent="0.25">
      <c r="A133" s="13">
        <v>12491</v>
      </c>
      <c r="B133" s="14">
        <v>43398.689513888887</v>
      </c>
      <c r="C133" s="13" t="s">
        <v>10</v>
      </c>
      <c r="D133" s="13" t="str">
        <f>"DEPOSITI CAUZIONALI CONVITTO"</f>
        <v>DEPOSITI CAUZIONALI CONVITTO</v>
      </c>
      <c r="E133" s="13" t="str">
        <f>"NARDULLI CONCETTA"</f>
        <v>NARDULLI CONCETTA</v>
      </c>
      <c r="F133" s="13" t="str">
        <f>"Restituzione deposito cauzionale"</f>
        <v>Restituzione deposito cauzionale</v>
      </c>
      <c r="G133" s="15">
        <v>150</v>
      </c>
    </row>
    <row r="134" spans="1:7" ht="22.5" x14ac:dyDescent="0.25">
      <c r="A134" s="13">
        <v>12492</v>
      </c>
      <c r="B134" s="14">
        <v>43399.596400462964</v>
      </c>
      <c r="C134" s="13" t="s">
        <v>10</v>
      </c>
      <c r="D134" s="13" t="str">
        <f>"PRODOTTI FARMACEUTICI CON AIC"</f>
        <v>PRODOTTI FARMACEUTICI CON AIC</v>
      </c>
      <c r="E134" s="13" t="str">
        <f>"A.C.R.A.F. SPA a Socio Unico"</f>
        <v>A.C.R.A.F. SPA a Socio Unico</v>
      </c>
      <c r="F134" s="13" t="s">
        <v>14</v>
      </c>
      <c r="G134" s="15">
        <v>96</v>
      </c>
    </row>
    <row r="135" spans="1:7" ht="22.5" x14ac:dyDescent="0.25">
      <c r="A135" s="13">
        <v>12493</v>
      </c>
      <c r="B135" s="14">
        <v>43399.639814814815</v>
      </c>
      <c r="C135" s="13" t="s">
        <v>10</v>
      </c>
      <c r="D135" s="13" t="str">
        <f>"ALTRI CANONI DI NOLEGGIO"</f>
        <v>ALTRI CANONI DI NOLEGGIO</v>
      </c>
      <c r="E135" s="13" t="str">
        <f>"ARJO ITALIA SPA"</f>
        <v>ARJO ITALIA SPA</v>
      </c>
      <c r="F135" s="13" t="s">
        <v>14</v>
      </c>
      <c r="G135" s="15">
        <v>76</v>
      </c>
    </row>
    <row r="136" spans="1:7" ht="22.5" x14ac:dyDescent="0.25">
      <c r="A136" s="13">
        <v>12494</v>
      </c>
      <c r="B136" s="14">
        <v>43399.639814814815</v>
      </c>
      <c r="C136" s="13" t="s">
        <v>10</v>
      </c>
      <c r="D136" s="13" t="str">
        <f t="shared" ref="D136:D141" si="9">"FARMACI FILE F"</f>
        <v>FARMACI FILE F</v>
      </c>
      <c r="E136" s="13" t="str">
        <f>"ABBVIE SRL a Socio Unico"</f>
        <v>ABBVIE SRL a Socio Unico</v>
      </c>
      <c r="F136" s="13" t="s">
        <v>14</v>
      </c>
      <c r="G136" s="15">
        <v>79092.539999999994</v>
      </c>
    </row>
    <row r="137" spans="1:7" ht="22.5" x14ac:dyDescent="0.25">
      <c r="A137" s="13">
        <v>12495</v>
      </c>
      <c r="B137" s="14">
        <v>43399.639814814815</v>
      </c>
      <c r="C137" s="13" t="s">
        <v>10</v>
      </c>
      <c r="D137" s="13" t="str">
        <f t="shared" si="9"/>
        <v>FARMACI FILE F</v>
      </c>
      <c r="E137" s="13" t="str">
        <f>"ABBVIE SRL a Socio Unico"</f>
        <v>ABBVIE SRL a Socio Unico</v>
      </c>
      <c r="F137" s="13" t="s">
        <v>14</v>
      </c>
      <c r="G137" s="15">
        <v>9886.3799999999992</v>
      </c>
    </row>
    <row r="138" spans="1:7" ht="22.5" x14ac:dyDescent="0.25">
      <c r="A138" s="13">
        <v>12496</v>
      </c>
      <c r="B138" s="14">
        <v>43399.639814814815</v>
      </c>
      <c r="C138" s="13" t="s">
        <v>10</v>
      </c>
      <c r="D138" s="13" t="str">
        <f t="shared" si="9"/>
        <v>FARMACI FILE F</v>
      </c>
      <c r="E138" s="13" t="str">
        <f>"ABBVIE SRL a Socio Unico"</f>
        <v>ABBVIE SRL a Socio Unico</v>
      </c>
      <c r="F138" s="13" t="s">
        <v>14</v>
      </c>
      <c r="G138" s="15">
        <v>63947.16</v>
      </c>
    </row>
    <row r="139" spans="1:7" ht="22.5" x14ac:dyDescent="0.25">
      <c r="A139" s="13">
        <v>12497</v>
      </c>
      <c r="B139" s="14">
        <v>43399.639814814815</v>
      </c>
      <c r="C139" s="13" t="s">
        <v>10</v>
      </c>
      <c r="D139" s="13" t="str">
        <f t="shared" si="9"/>
        <v>FARMACI FILE F</v>
      </c>
      <c r="E139" s="13" t="str">
        <f>"ACTELION PHARMACEUTICALS ITALIA SRL  Societa Unipersonale"</f>
        <v>ACTELION PHARMACEUTICALS ITALIA SRL  Societa Unipersonale</v>
      </c>
      <c r="F139" s="13" t="s">
        <v>14</v>
      </c>
      <c r="G139" s="15">
        <v>9568.08</v>
      </c>
    </row>
    <row r="140" spans="1:7" ht="22.5" x14ac:dyDescent="0.25">
      <c r="A140" s="13">
        <v>12498</v>
      </c>
      <c r="B140" s="14">
        <v>43399.639814814815</v>
      </c>
      <c r="C140" s="13" t="s">
        <v>10</v>
      </c>
      <c r="D140" s="13" t="str">
        <f t="shared" si="9"/>
        <v>FARMACI FILE F</v>
      </c>
      <c r="E140" s="13" t="str">
        <f>"ACTELION PHARMACEUTICALS ITALIA SRL  Societa Unipersonale"</f>
        <v>ACTELION PHARMACEUTICALS ITALIA SRL  Societa Unipersonale</v>
      </c>
      <c r="F140" s="13" t="s">
        <v>14</v>
      </c>
      <c r="G140" s="15">
        <v>3519.01</v>
      </c>
    </row>
    <row r="141" spans="1:7" ht="22.5" x14ac:dyDescent="0.25">
      <c r="A141" s="13">
        <v>12499</v>
      </c>
      <c r="B141" s="14">
        <v>43399.639814814815</v>
      </c>
      <c r="C141" s="13" t="s">
        <v>10</v>
      </c>
      <c r="D141" s="13" t="str">
        <f t="shared" si="9"/>
        <v>FARMACI FILE F</v>
      </c>
      <c r="E141" s="13" t="str">
        <f>"ACTELION PHARMACEUTICALS ITALIA SRL  Societa Unipersonale"</f>
        <v>ACTELION PHARMACEUTICALS ITALIA SRL  Societa Unipersonale</v>
      </c>
      <c r="F141" s="13" t="s">
        <v>14</v>
      </c>
      <c r="G141" s="15">
        <v>8317.66</v>
      </c>
    </row>
    <row r="142" spans="1:7" ht="22.5" x14ac:dyDescent="0.25">
      <c r="A142" s="13">
        <v>12500</v>
      </c>
      <c r="B142" s="14">
        <v>43399.639814814815</v>
      </c>
      <c r="C142" s="13" t="s">
        <v>10</v>
      </c>
      <c r="D142" s="13" t="str">
        <f>"MATERIALE DIAGNOSTICO (W)"</f>
        <v>MATERIALE DIAGNOSTICO (W)</v>
      </c>
      <c r="E142" s="13" t="str">
        <f>"A.D.A. SRL"</f>
        <v>A.D.A. SRL</v>
      </c>
      <c r="F142" s="13" t="s">
        <v>14</v>
      </c>
      <c r="G142" s="15">
        <v>866</v>
      </c>
    </row>
    <row r="143" spans="1:7" ht="22.5" x14ac:dyDescent="0.25">
      <c r="A143" s="13">
        <v>12501</v>
      </c>
      <c r="B143" s="14">
        <v>43399.639814814815</v>
      </c>
      <c r="C143" s="13" t="s">
        <v>10</v>
      </c>
      <c r="D143" s="13" t="str">
        <f>"MATERIALE PROTESICO"</f>
        <v>MATERIALE PROTESICO</v>
      </c>
      <c r="E143" s="13" t="str">
        <f>"ARTHREX ITALIA SRL"</f>
        <v>ARTHREX ITALIA SRL</v>
      </c>
      <c r="F143" s="13" t="s">
        <v>14</v>
      </c>
      <c r="G143" s="15">
        <v>393.12</v>
      </c>
    </row>
    <row r="144" spans="1:7" ht="22.5" x14ac:dyDescent="0.25">
      <c r="A144" s="13">
        <v>12502</v>
      </c>
      <c r="B144" s="14">
        <v>43399.639814814815</v>
      </c>
      <c r="C144" s="13" t="s">
        <v>10</v>
      </c>
      <c r="D144" s="13" t="str">
        <f>"PRESIDI MEDICO-CHIRURGICI SPECIALISTICI R"</f>
        <v>PRESIDI MEDICO-CHIRURGICI SPECIALISTICI R</v>
      </c>
      <c r="E144" s="13" t="str">
        <f>"AMBU SRL"</f>
        <v>AMBU SRL</v>
      </c>
      <c r="F144" s="13" t="s">
        <v>14</v>
      </c>
      <c r="G144" s="15">
        <v>260</v>
      </c>
    </row>
    <row r="145" spans="1:7" ht="22.5" x14ac:dyDescent="0.25">
      <c r="A145" s="13">
        <v>12503</v>
      </c>
      <c r="B145" s="14">
        <v>43399.639814814815</v>
      </c>
      <c r="C145" s="13" t="s">
        <v>10</v>
      </c>
      <c r="D145" s="13" t="str">
        <f>"PRODOTTI CHIMICI: MATERIALI DIAGNOSTICI (SENZA CND)"</f>
        <v>PRODOTTI CHIMICI: MATERIALI DIAGNOSTICI (SENZA CND)</v>
      </c>
      <c r="E145" s="13" t="str">
        <f>"AGILENT TECHNOLOGIES ITALIA SPA"</f>
        <v>AGILENT TECHNOLOGIES ITALIA SPA</v>
      </c>
      <c r="F145" s="13" t="s">
        <v>14</v>
      </c>
      <c r="G145" s="15">
        <v>420</v>
      </c>
    </row>
    <row r="146" spans="1:7" ht="22.5" x14ac:dyDescent="0.25">
      <c r="A146" s="13">
        <v>12504</v>
      </c>
      <c r="B146" s="14">
        <v>43399.639814814815</v>
      </c>
      <c r="C146" s="13" t="s">
        <v>10</v>
      </c>
      <c r="D146" s="13" t="str">
        <f>"PRODOTTI FARMACEUTICI CON AIC"</f>
        <v>PRODOTTI FARMACEUTICI CON AIC</v>
      </c>
      <c r="E146" s="13" t="str">
        <f>"ACCORD HEALTHCARE ITALIA SRL"</f>
        <v>ACCORD HEALTHCARE ITALIA SRL</v>
      </c>
      <c r="F146" s="13" t="s">
        <v>14</v>
      </c>
      <c r="G146" s="15">
        <v>102.7</v>
      </c>
    </row>
    <row r="147" spans="1:7" ht="22.5" x14ac:dyDescent="0.25">
      <c r="A147" s="13">
        <v>12505</v>
      </c>
      <c r="B147" s="14">
        <v>43399.639814814815</v>
      </c>
      <c r="C147" s="13" t="s">
        <v>10</v>
      </c>
      <c r="D147" s="13" t="str">
        <f>"PRODOTTI FARMACEUTICI CON AIC"</f>
        <v>PRODOTTI FARMACEUTICI CON AIC</v>
      </c>
      <c r="E147" s="13" t="str">
        <f>"ALFASIGMA SPA"</f>
        <v>ALFASIGMA SPA</v>
      </c>
      <c r="F147" s="13" t="s">
        <v>14</v>
      </c>
      <c r="G147" s="15">
        <v>251.52</v>
      </c>
    </row>
    <row r="148" spans="1:7" ht="22.5" x14ac:dyDescent="0.25">
      <c r="A148" s="13">
        <v>12506</v>
      </c>
      <c r="B148" s="14">
        <v>43399.639814814815</v>
      </c>
      <c r="C148" s="13" t="s">
        <v>10</v>
      </c>
      <c r="D148" s="13" t="str">
        <f>"STRUMENTARIO CHIRURGICO (K, L)"</f>
        <v>STRUMENTARIO CHIRURGICO (K, L)</v>
      </c>
      <c r="E148" s="13" t="str">
        <f>"ARTHREX ITALIA SRL"</f>
        <v>ARTHREX ITALIA SRL</v>
      </c>
      <c r="F148" s="13" t="s">
        <v>14</v>
      </c>
      <c r="G148" s="15">
        <v>486</v>
      </c>
    </row>
    <row r="149" spans="1:7" ht="22.5" x14ac:dyDescent="0.25">
      <c r="A149" s="13">
        <v>12507</v>
      </c>
      <c r="B149" s="14">
        <v>43399.639826388891</v>
      </c>
      <c r="C149" s="13" t="s">
        <v>10</v>
      </c>
      <c r="D149" s="13" t="str">
        <f>"ALTRI SERVIZI"</f>
        <v>ALTRI SERVIZI</v>
      </c>
      <c r="E149" s="13" t="str">
        <f>"DEDALUS SPA con Socio Unico"</f>
        <v>DEDALUS SPA con Socio Unico</v>
      </c>
      <c r="F149" s="13" t="str">
        <f>"ALTRE SPESE PER SERV.NON SANITARI"</f>
        <v>ALTRE SPESE PER SERV.NON SANITARI</v>
      </c>
      <c r="G149" s="15">
        <v>58910.25</v>
      </c>
    </row>
    <row r="150" spans="1:7" ht="22.5" x14ac:dyDescent="0.25">
      <c r="A150" s="13">
        <v>12508</v>
      </c>
      <c r="B150" s="14">
        <v>43399.639826388891</v>
      </c>
      <c r="C150" s="13" t="s">
        <v>10</v>
      </c>
      <c r="D150" s="13" t="str">
        <f>"ASSISTENZA PASTI"</f>
        <v>ASSISTENZA PASTI</v>
      </c>
      <c r="E150" s="13" t="str">
        <f>"CONSORZIO NAZIONALE SERVIZI - SOCIETA COOPERATIVA"</f>
        <v>CONSORZIO NAZIONALE SERVIZI - SOCIETA COOPERATIVA</v>
      </c>
      <c r="F150" s="13" t="s">
        <v>21</v>
      </c>
      <c r="G150" s="15">
        <v>78909.899999999994</v>
      </c>
    </row>
    <row r="151" spans="1:7" ht="22.5" x14ac:dyDescent="0.25">
      <c r="A151" s="13">
        <v>12509</v>
      </c>
      <c r="B151" s="14">
        <v>43399.639826388891</v>
      </c>
      <c r="C151" s="13" t="s">
        <v>10</v>
      </c>
      <c r="D151" s="13" t="str">
        <f>"ASSISTENZA PASTI"</f>
        <v>ASSISTENZA PASTI</v>
      </c>
      <c r="E151" s="13" t="str">
        <f>"CONSORZIO NAZIONALE SERVIZI - SOCIETA COOPERATIVA"</f>
        <v>CONSORZIO NAZIONALE SERVIZI - SOCIETA COOPERATIVA</v>
      </c>
      <c r="F151" s="13" t="s">
        <v>21</v>
      </c>
      <c r="G151" s="15">
        <v>78909.899999999994</v>
      </c>
    </row>
    <row r="152" spans="1:7" ht="33.75" x14ac:dyDescent="0.25">
      <c r="A152" s="13">
        <v>12510</v>
      </c>
      <c r="B152" s="14">
        <v>43399.639826388891</v>
      </c>
      <c r="C152" s="13" t="s">
        <v>10</v>
      </c>
      <c r="D152" s="13" t="str">
        <f>"DISPOSITIVI DI SOMMINISTRAZIONE, PRELIEVO E RACCOLTA (CIN A)"</f>
        <v>DISPOSITIVI DI SOMMINISTRAZIONE, PRELIEVO E RACCOLTA (CIN A)</v>
      </c>
      <c r="E152" s="13" t="str">
        <f>"B. BRAUN MILANO SPA a Socio Unico"</f>
        <v>B. BRAUN MILANO SPA a Socio Unico</v>
      </c>
      <c r="F152" s="13" t="s">
        <v>14</v>
      </c>
      <c r="G152" s="15">
        <v>220</v>
      </c>
    </row>
    <row r="153" spans="1:7" ht="22.5" x14ac:dyDescent="0.25">
      <c r="A153" s="13">
        <v>12511</v>
      </c>
      <c r="B153" s="14">
        <v>43399.639826388891</v>
      </c>
      <c r="C153" s="13" t="s">
        <v>10</v>
      </c>
      <c r="D153" s="13" t="str">
        <f>"FARMACI FILE F"</f>
        <v>FARMACI FILE F</v>
      </c>
      <c r="E153" s="13" t="str">
        <f>"BIOGEN ITALIA SRL"</f>
        <v>BIOGEN ITALIA SRL</v>
      </c>
      <c r="F153" s="13" t="s">
        <v>14</v>
      </c>
      <c r="G153" s="15">
        <v>4707.84</v>
      </c>
    </row>
    <row r="154" spans="1:7" ht="22.5" x14ac:dyDescent="0.25">
      <c r="A154" s="13">
        <v>12512</v>
      </c>
      <c r="B154" s="14">
        <v>43399.639826388891</v>
      </c>
      <c r="C154" s="13" t="s">
        <v>10</v>
      </c>
      <c r="D154" s="13" t="str">
        <f>"FARMACI FILE F"</f>
        <v>FARMACI FILE F</v>
      </c>
      <c r="E154" s="13" t="str">
        <f>"BIOGEN ITALIA SRL"</f>
        <v>BIOGEN ITALIA SRL</v>
      </c>
      <c r="F154" s="13" t="s">
        <v>14</v>
      </c>
      <c r="G154" s="15">
        <v>2353.92</v>
      </c>
    </row>
    <row r="155" spans="1:7" ht="22.5" x14ac:dyDescent="0.25">
      <c r="A155" s="13">
        <v>12513</v>
      </c>
      <c r="B155" s="14">
        <v>43399.639826388891</v>
      </c>
      <c r="C155" s="13" t="s">
        <v>10</v>
      </c>
      <c r="D155" s="13" t="str">
        <f>"MATERIALE DIAGNOSTICO (W)"</f>
        <v>MATERIALE DIAGNOSTICO (W)</v>
      </c>
      <c r="E155" s="13" t="str">
        <f>"BIOMERIEUX ITALIA SPA a Socio Unico"</f>
        <v>BIOMERIEUX ITALIA SPA a Socio Unico</v>
      </c>
      <c r="F155" s="13" t="s">
        <v>14</v>
      </c>
      <c r="G155" s="15">
        <v>672</v>
      </c>
    </row>
    <row r="156" spans="1:7" ht="22.5" x14ac:dyDescent="0.25">
      <c r="A156" s="13">
        <v>12514</v>
      </c>
      <c r="B156" s="14">
        <v>43399.639826388891</v>
      </c>
      <c r="C156" s="13" t="s">
        <v>10</v>
      </c>
      <c r="D156" s="13" t="str">
        <f>"MATERIALE DIAGNOSTICO (W)"</f>
        <v>MATERIALE DIAGNOSTICO (W)</v>
      </c>
      <c r="E156" s="13" t="str">
        <f>"BIOSIGMA SRL"</f>
        <v>BIOSIGMA SRL</v>
      </c>
      <c r="F156" s="13" t="s">
        <v>14</v>
      </c>
      <c r="G156" s="15">
        <v>953.76</v>
      </c>
    </row>
    <row r="157" spans="1:7" ht="22.5" x14ac:dyDescent="0.25">
      <c r="A157" s="13">
        <v>12515</v>
      </c>
      <c r="B157" s="14">
        <v>43399.639826388891</v>
      </c>
      <c r="C157" s="13" t="s">
        <v>10</v>
      </c>
      <c r="D157" s="13" t="str">
        <f>"MATERIALE PROTESICO"</f>
        <v>MATERIALE PROTESICO</v>
      </c>
      <c r="E157" s="13" t="str">
        <f>"ARTHREX ITALIA SRL"</f>
        <v>ARTHREX ITALIA SRL</v>
      </c>
      <c r="F157" s="13" t="s">
        <v>14</v>
      </c>
      <c r="G157" s="15">
        <v>393.12</v>
      </c>
    </row>
    <row r="158" spans="1:7" ht="33.75" x14ac:dyDescent="0.25">
      <c r="A158" s="13">
        <v>12516</v>
      </c>
      <c r="B158" s="14">
        <v>43399.639826388891</v>
      </c>
      <c r="C158" s="13" t="s">
        <v>10</v>
      </c>
      <c r="D158" s="13" t="str">
        <f>"PRESIDI MEDICO-CHIRURGICI GENERICI E AUSILI TECNICI PER DISABILI H"</f>
        <v>PRESIDI MEDICO-CHIRURGICI GENERICI E AUSILI TECNICI PER DISABILI H</v>
      </c>
      <c r="E158" s="13" t="str">
        <f>"B. BRAUN MILANO SPA a Socio Unico"</f>
        <v>B. BRAUN MILANO SPA a Socio Unico</v>
      </c>
      <c r="F158" s="13" t="s">
        <v>14</v>
      </c>
      <c r="G158" s="15">
        <v>1016.8</v>
      </c>
    </row>
    <row r="159" spans="1:7" ht="33.75" x14ac:dyDescent="0.25">
      <c r="A159" s="13">
        <v>12517</v>
      </c>
      <c r="B159" s="14">
        <v>43399.639826388891</v>
      </c>
      <c r="C159" s="13" t="s">
        <v>10</v>
      </c>
      <c r="D159" s="13" t="str">
        <f>"PRESIDI MEDICO-CHIRURGICI GENERICI E AUSILI TECNICI PER DISABILI H"</f>
        <v>PRESIDI MEDICO-CHIRURGICI GENERICI E AUSILI TECNICI PER DISABILI H</v>
      </c>
      <c r="E159" s="13" t="str">
        <f>"B. BRAUN MILANO SPA a Socio Unico"</f>
        <v>B. BRAUN MILANO SPA a Socio Unico</v>
      </c>
      <c r="F159" s="13" t="s">
        <v>14</v>
      </c>
      <c r="G159" s="15">
        <v>463.25</v>
      </c>
    </row>
    <row r="160" spans="1:7" ht="33.75" x14ac:dyDescent="0.25">
      <c r="A160" s="13">
        <v>12518</v>
      </c>
      <c r="B160" s="14">
        <v>43399.639826388891</v>
      </c>
      <c r="C160" s="13" t="s">
        <v>10</v>
      </c>
      <c r="D160" s="13" t="str">
        <f>"PRESIDI MEDICO-CHIRURGICI GENERICI E AUSILI TECNICI PER DISABILI M"</f>
        <v>PRESIDI MEDICO-CHIRURGICI GENERICI E AUSILI TECNICI PER DISABILI M</v>
      </c>
      <c r="E160" s="13" t="str">
        <f>"BAXTER SPA"</f>
        <v>BAXTER SPA</v>
      </c>
      <c r="F160" s="13" t="s">
        <v>14</v>
      </c>
      <c r="G160" s="15">
        <v>2016</v>
      </c>
    </row>
    <row r="161" spans="1:7" ht="33.75" x14ac:dyDescent="0.25">
      <c r="A161" s="13">
        <v>12519</v>
      </c>
      <c r="B161" s="14">
        <v>43399.639826388891</v>
      </c>
      <c r="C161" s="13" t="s">
        <v>10</v>
      </c>
      <c r="D161" s="13" t="str">
        <f>"PRESIDI MEDICO-CHIRURGICI GENERICI E AUSILI TECNICI PER DISABILI T"</f>
        <v>PRESIDI MEDICO-CHIRURGICI GENERICI E AUSILI TECNICI PER DISABILI T</v>
      </c>
      <c r="E161" s="13" t="str">
        <f>"BENEFIS SRL"</f>
        <v>BENEFIS SRL</v>
      </c>
      <c r="F161" s="13" t="s">
        <v>14</v>
      </c>
      <c r="G161" s="15">
        <v>264</v>
      </c>
    </row>
    <row r="162" spans="1:7" ht="22.5" x14ac:dyDescent="0.25">
      <c r="A162" s="13">
        <v>12520</v>
      </c>
      <c r="B162" s="14">
        <v>43399.639826388891</v>
      </c>
      <c r="C162" s="13" t="s">
        <v>10</v>
      </c>
      <c r="D162" s="13" t="str">
        <f>"PRODOTTI FARMACEUTICI CON AIC"</f>
        <v>PRODOTTI FARMACEUTICI CON AIC</v>
      </c>
      <c r="E162" s="13" t="str">
        <f>"BAYER SPA Societa Unipersonale"</f>
        <v>BAYER SPA Societa Unipersonale</v>
      </c>
      <c r="F162" s="13" t="s">
        <v>14</v>
      </c>
      <c r="G162" s="15">
        <v>222.5</v>
      </c>
    </row>
    <row r="163" spans="1:7" ht="22.5" x14ac:dyDescent="0.25">
      <c r="A163" s="13">
        <v>12521</v>
      </c>
      <c r="B163" s="14">
        <v>43399.639826388891</v>
      </c>
      <c r="C163" s="13" t="s">
        <v>10</v>
      </c>
      <c r="D163" s="13" t="str">
        <f>"SERVIZIO ARCHIVIAZIONE (CUP)"</f>
        <v>SERVIZIO ARCHIVIAZIONE (CUP)</v>
      </c>
      <c r="E163" s="13" t="str">
        <f>"CONSORZIO NAZIONALE SERVIZI - SOCIETA COOPERATIVA"</f>
        <v>CONSORZIO NAZIONALE SERVIZI - SOCIETA COOPERATIVA</v>
      </c>
      <c r="F163" s="13" t="str">
        <f>"ALTRE SPESE PER SERV.NON SANITARI"</f>
        <v>ALTRE SPESE PER SERV.NON SANITARI</v>
      </c>
      <c r="G163" s="15">
        <v>56787.33</v>
      </c>
    </row>
    <row r="164" spans="1:7" ht="22.5" x14ac:dyDescent="0.25">
      <c r="A164" s="13">
        <v>12522</v>
      </c>
      <c r="B164" s="14">
        <v>43399.639826388891</v>
      </c>
      <c r="C164" s="13" t="s">
        <v>10</v>
      </c>
      <c r="D164" s="13" t="str">
        <f>"SMALTIMENTO RIFIUTI SPECIALI E ASSIMILATI"</f>
        <v>SMALTIMENTO RIFIUTI SPECIALI E ASSIMILATI</v>
      </c>
      <c r="E164" s="13" t="str">
        <f>"CONSORZIO NAZIONALE SERVIZI - SOCIETA COOPERATIVA"</f>
        <v>CONSORZIO NAZIONALE SERVIZI - SOCIETA COOPERATIVA</v>
      </c>
      <c r="F164" s="13" t="s">
        <v>14</v>
      </c>
      <c r="G164" s="15">
        <v>61289.49</v>
      </c>
    </row>
    <row r="165" spans="1:7" ht="22.5" x14ac:dyDescent="0.25">
      <c r="A165" s="13">
        <v>12523</v>
      </c>
      <c r="B165" s="14">
        <v>43399.639826388891</v>
      </c>
      <c r="C165" s="13" t="s">
        <v>10</v>
      </c>
      <c r="D165" s="13" t="str">
        <f>"SMALTIMENTO RIFIUTI SPECIALI E ASSIMILATI"</f>
        <v>SMALTIMENTO RIFIUTI SPECIALI E ASSIMILATI</v>
      </c>
      <c r="E165" s="13" t="str">
        <f>"CONSORZIO NAZIONALE SERVIZI - SOCIETA COOPERATIVA"</f>
        <v>CONSORZIO NAZIONALE SERVIZI - SOCIETA COOPERATIVA</v>
      </c>
      <c r="F165" s="13" t="s">
        <v>14</v>
      </c>
      <c r="G165" s="15">
        <v>5518.17</v>
      </c>
    </row>
    <row r="166" spans="1:7" ht="22.5" x14ac:dyDescent="0.25">
      <c r="A166" s="13">
        <v>12524</v>
      </c>
      <c r="B166" s="14">
        <v>43399.639826388891</v>
      </c>
      <c r="C166" s="13" t="s">
        <v>10</v>
      </c>
      <c r="D166" s="13" t="str">
        <f>"SMALTIMENTO RIFIUTI SPECIALI E ASSIMILATI"</f>
        <v>SMALTIMENTO RIFIUTI SPECIALI E ASSIMILATI</v>
      </c>
      <c r="E166" s="13" t="str">
        <f>"CONSORZIO NAZIONALE SERVIZI - SOCIETA COOPERATIVA"</f>
        <v>CONSORZIO NAZIONALE SERVIZI - SOCIETA COOPERATIVA</v>
      </c>
      <c r="F166" s="13" t="s">
        <v>14</v>
      </c>
      <c r="G166" s="15">
        <v>6435.53</v>
      </c>
    </row>
    <row r="167" spans="1:7" ht="22.5" x14ac:dyDescent="0.25">
      <c r="A167" s="13">
        <v>12525</v>
      </c>
      <c r="B167" s="14">
        <v>43399.688784722224</v>
      </c>
      <c r="C167" s="13" t="s">
        <v>10</v>
      </c>
      <c r="D167" s="13" t="str">
        <f>"SERVIZIO DI LAVANDERIA"</f>
        <v>SERVIZIO DI LAVANDERIA</v>
      </c>
      <c r="E167" s="13" t="str">
        <f>"ADAPTA SPA"</f>
        <v>ADAPTA SPA</v>
      </c>
      <c r="F167" s="13" t="s">
        <v>17</v>
      </c>
      <c r="G167" s="15">
        <v>12701.91</v>
      </c>
    </row>
    <row r="168" spans="1:7" ht="22.5" x14ac:dyDescent="0.25">
      <c r="A168" s="13">
        <v>12526</v>
      </c>
      <c r="B168" s="14">
        <v>43399.688784722224</v>
      </c>
      <c r="C168" s="13" t="s">
        <v>10</v>
      </c>
      <c r="D168" s="13" t="str">
        <f>"SERVIZIO DI LAVANDERIA"</f>
        <v>SERVIZIO DI LAVANDERIA</v>
      </c>
      <c r="E168" s="13" t="str">
        <f>"ADAPTA SPA"</f>
        <v>ADAPTA SPA</v>
      </c>
      <c r="F168" s="13" t="s">
        <v>17</v>
      </c>
      <c r="G168" s="15">
        <v>13579.7</v>
      </c>
    </row>
    <row r="169" spans="1:7" ht="22.5" x14ac:dyDescent="0.25">
      <c r="A169" s="13">
        <v>12527</v>
      </c>
      <c r="B169" s="14">
        <v>43402.571851851855</v>
      </c>
      <c r="C169" s="13" t="s">
        <v>11</v>
      </c>
      <c r="D169" s="13" t="str">
        <f>"MANUTENZIONE SOFTWARE"</f>
        <v>MANUTENZIONE SOFTWARE</v>
      </c>
      <c r="E169" s="13" t="str">
        <f>"DEDALUS SPA con Socio Unico"</f>
        <v>DEDALUS SPA con Socio Unico</v>
      </c>
      <c r="F169" s="13" t="s">
        <v>22</v>
      </c>
      <c r="G169" s="15">
        <v>11800</v>
      </c>
    </row>
    <row r="170" spans="1:7" ht="22.5" x14ac:dyDescent="0.25">
      <c r="A170" s="13">
        <v>12528</v>
      </c>
      <c r="B170" s="14">
        <v>43402.571863425925</v>
      </c>
      <c r="C170" s="13" t="s">
        <v>10</v>
      </c>
      <c r="D170" s="13" t="str">
        <f>"FARMACI FILE F"</f>
        <v>FARMACI FILE F</v>
      </c>
      <c r="E170" s="13" t="str">
        <f>"ROCHE SPA Societa Unipersonale"</f>
        <v>ROCHE SPA Societa Unipersonale</v>
      </c>
      <c r="F170" s="13" t="s">
        <v>14</v>
      </c>
      <c r="G170" s="15">
        <v>14391.36</v>
      </c>
    </row>
    <row r="171" spans="1:7" ht="22.5" x14ac:dyDescent="0.25">
      <c r="A171" s="13">
        <v>12529</v>
      </c>
      <c r="B171" s="14">
        <v>43402.571863425925</v>
      </c>
      <c r="C171" s="13" t="s">
        <v>10</v>
      </c>
      <c r="D171" s="13" t="str">
        <f>"PRODOTTI FARMACEUTICI CON AIC"</f>
        <v>PRODOTTI FARMACEUTICI CON AIC</v>
      </c>
      <c r="E171" s="13" t="str">
        <f>"S.A.L.F. SPA"</f>
        <v>S.A.L.F. SPA</v>
      </c>
      <c r="F171" s="13" t="s">
        <v>14</v>
      </c>
      <c r="G171" s="15">
        <v>11</v>
      </c>
    </row>
    <row r="172" spans="1:7" ht="22.5" x14ac:dyDescent="0.25">
      <c r="A172" s="13">
        <v>12530</v>
      </c>
      <c r="B172" s="14">
        <v>43402.571875000001</v>
      </c>
      <c r="C172" s="13" t="s">
        <v>10</v>
      </c>
      <c r="D172" s="13" t="str">
        <f>"ALTRI CANONI DI NOLEGGIO"</f>
        <v>ALTRI CANONI DI NOLEGGIO</v>
      </c>
      <c r="E172" s="13" t="str">
        <f>"SERVICE MED SRL"</f>
        <v>SERVICE MED SRL</v>
      </c>
      <c r="F172" s="13" t="s">
        <v>14</v>
      </c>
      <c r="G172" s="15">
        <v>2241.6999999999998</v>
      </c>
    </row>
    <row r="173" spans="1:7" ht="22.5" x14ac:dyDescent="0.25">
      <c r="A173" s="13">
        <v>12531</v>
      </c>
      <c r="B173" s="14">
        <v>43402.571875000001</v>
      </c>
      <c r="C173" s="13" t="s">
        <v>10</v>
      </c>
      <c r="D173" s="13" t="str">
        <f>"ALTRI CANONI DI NOLEGGIO"</f>
        <v>ALTRI CANONI DI NOLEGGIO</v>
      </c>
      <c r="E173" s="13" t="str">
        <f>"SERVICE MED SRL"</f>
        <v>SERVICE MED SRL</v>
      </c>
      <c r="F173" s="13" t="s">
        <v>14</v>
      </c>
      <c r="G173" s="15">
        <v>2262</v>
      </c>
    </row>
    <row r="174" spans="1:7" ht="33.75" x14ac:dyDescent="0.25">
      <c r="A174" s="13">
        <v>12532</v>
      </c>
      <c r="B174" s="14">
        <v>43402.571875000001</v>
      </c>
      <c r="C174" s="13" t="s">
        <v>10</v>
      </c>
      <c r="D174" s="13" t="str">
        <f>"APP.RE SANITARIE E RELATIVI COMPONENTI ACCESSORI E MATERIALE RADIOGRAFICO (Z)"</f>
        <v>APP.RE SANITARIE E RELATIVI COMPONENTI ACCESSORI E MATERIALE RADIOGRAFICO (Z)</v>
      </c>
      <c r="E174" s="13" t="str">
        <f>"SMITH &amp; NEPHEW SRL Societa Unipersonale"</f>
        <v>SMITH &amp; NEPHEW SRL Societa Unipersonale</v>
      </c>
      <c r="F174" s="13" t="s">
        <v>14</v>
      </c>
      <c r="G174" s="15">
        <v>713.3</v>
      </c>
    </row>
    <row r="175" spans="1:7" ht="22.5" x14ac:dyDescent="0.25">
      <c r="A175" s="13">
        <v>12533</v>
      </c>
      <c r="B175" s="14">
        <v>43402.571875000001</v>
      </c>
      <c r="C175" s="13" t="s">
        <v>11</v>
      </c>
      <c r="D175" s="13" t="str">
        <f>"MANUTENZIONE ALTRI BENI ST"</f>
        <v>MANUTENZIONE ALTRI BENI ST</v>
      </c>
      <c r="E175" s="13" t="str">
        <f>"SE.MA COSTRUZIONI SRL"</f>
        <v>SE.MA COSTRUZIONI SRL</v>
      </c>
      <c r="F175" s="13" t="s">
        <v>22</v>
      </c>
      <c r="G175" s="15">
        <v>3390</v>
      </c>
    </row>
    <row r="176" spans="1:7" ht="22.5" x14ac:dyDescent="0.25">
      <c r="A176" s="13">
        <v>12534</v>
      </c>
      <c r="B176" s="14">
        <v>43402.571875000001</v>
      </c>
      <c r="C176" s="13" t="s">
        <v>10</v>
      </c>
      <c r="D176" s="13" t="str">
        <f t="shared" ref="D176:D185" si="10">"MATERIALE PROTESICO"</f>
        <v>MATERIALE PROTESICO</v>
      </c>
      <c r="E176" s="13" t="str">
        <f t="shared" ref="E176:E185" si="11">"SMITH &amp; NEPHEW SRL Societa Unipersonale"</f>
        <v>SMITH &amp; NEPHEW SRL Societa Unipersonale</v>
      </c>
      <c r="F176" s="13" t="s">
        <v>14</v>
      </c>
      <c r="G176" s="15">
        <v>559.86</v>
      </c>
    </row>
    <row r="177" spans="1:7" ht="22.5" x14ac:dyDescent="0.25">
      <c r="A177" s="13">
        <v>12535</v>
      </c>
      <c r="B177" s="14">
        <v>43402.571875000001</v>
      </c>
      <c r="C177" s="13" t="s">
        <v>10</v>
      </c>
      <c r="D177" s="13" t="str">
        <f t="shared" si="10"/>
        <v>MATERIALE PROTESICO</v>
      </c>
      <c r="E177" s="13" t="str">
        <f t="shared" si="11"/>
        <v>SMITH &amp; NEPHEW SRL Societa Unipersonale</v>
      </c>
      <c r="F177" s="13" t="s">
        <v>14</v>
      </c>
      <c r="G177" s="15">
        <v>868.79</v>
      </c>
    </row>
    <row r="178" spans="1:7" ht="22.5" x14ac:dyDescent="0.25">
      <c r="A178" s="13">
        <v>12536</v>
      </c>
      <c r="B178" s="14">
        <v>43402.571875000001</v>
      </c>
      <c r="C178" s="13" t="s">
        <v>10</v>
      </c>
      <c r="D178" s="13" t="str">
        <f t="shared" si="10"/>
        <v>MATERIALE PROTESICO</v>
      </c>
      <c r="E178" s="13" t="str">
        <f t="shared" si="11"/>
        <v>SMITH &amp; NEPHEW SRL Societa Unipersonale</v>
      </c>
      <c r="F178" s="13" t="s">
        <v>14</v>
      </c>
      <c r="G178" s="15">
        <v>713.4</v>
      </c>
    </row>
    <row r="179" spans="1:7" ht="22.5" x14ac:dyDescent="0.25">
      <c r="A179" s="13">
        <v>12537</v>
      </c>
      <c r="B179" s="14">
        <v>43402.571875000001</v>
      </c>
      <c r="C179" s="13" t="s">
        <v>10</v>
      </c>
      <c r="D179" s="13" t="str">
        <f t="shared" si="10"/>
        <v>MATERIALE PROTESICO</v>
      </c>
      <c r="E179" s="13" t="str">
        <f t="shared" si="11"/>
        <v>SMITH &amp; NEPHEW SRL Societa Unipersonale</v>
      </c>
      <c r="F179" s="13" t="s">
        <v>14</v>
      </c>
      <c r="G179" s="15">
        <v>152.93</v>
      </c>
    </row>
    <row r="180" spans="1:7" ht="22.5" x14ac:dyDescent="0.25">
      <c r="A180" s="13">
        <v>12538</v>
      </c>
      <c r="B180" s="14">
        <v>43402.571875000001</v>
      </c>
      <c r="C180" s="13" t="s">
        <v>10</v>
      </c>
      <c r="D180" s="13" t="str">
        <f t="shared" si="10"/>
        <v>MATERIALE PROTESICO</v>
      </c>
      <c r="E180" s="13" t="str">
        <f t="shared" si="11"/>
        <v>SMITH &amp; NEPHEW SRL Societa Unipersonale</v>
      </c>
      <c r="F180" s="13" t="s">
        <v>14</v>
      </c>
      <c r="G180" s="15">
        <v>2097.9699999999998</v>
      </c>
    </row>
    <row r="181" spans="1:7" ht="22.5" x14ac:dyDescent="0.25">
      <c r="A181" s="13">
        <v>12539</v>
      </c>
      <c r="B181" s="14">
        <v>43402.571875000001</v>
      </c>
      <c r="C181" s="13" t="s">
        <v>10</v>
      </c>
      <c r="D181" s="13" t="str">
        <f t="shared" si="10"/>
        <v>MATERIALE PROTESICO</v>
      </c>
      <c r="E181" s="13" t="str">
        <f t="shared" si="11"/>
        <v>SMITH &amp; NEPHEW SRL Societa Unipersonale</v>
      </c>
      <c r="F181" s="13" t="s">
        <v>14</v>
      </c>
      <c r="G181" s="15">
        <v>639.84</v>
      </c>
    </row>
    <row r="182" spans="1:7" ht="22.5" x14ac:dyDescent="0.25">
      <c r="A182" s="13">
        <v>12540</v>
      </c>
      <c r="B182" s="14">
        <v>43402.571875000001</v>
      </c>
      <c r="C182" s="13" t="s">
        <v>10</v>
      </c>
      <c r="D182" s="13" t="str">
        <f t="shared" si="10"/>
        <v>MATERIALE PROTESICO</v>
      </c>
      <c r="E182" s="13" t="str">
        <f t="shared" si="11"/>
        <v>SMITH &amp; NEPHEW SRL Societa Unipersonale</v>
      </c>
      <c r="F182" s="13" t="s">
        <v>14</v>
      </c>
      <c r="G182" s="15">
        <v>980.72</v>
      </c>
    </row>
    <row r="183" spans="1:7" ht="22.5" x14ac:dyDescent="0.25">
      <c r="A183" s="13">
        <v>12541</v>
      </c>
      <c r="B183" s="14">
        <v>43402.571875000001</v>
      </c>
      <c r="C183" s="13" t="s">
        <v>10</v>
      </c>
      <c r="D183" s="13" t="str">
        <f t="shared" si="10"/>
        <v>MATERIALE PROTESICO</v>
      </c>
      <c r="E183" s="13" t="str">
        <f t="shared" si="11"/>
        <v>SMITH &amp; NEPHEW SRL Societa Unipersonale</v>
      </c>
      <c r="F183" s="13" t="s">
        <v>14</v>
      </c>
      <c r="G183" s="15">
        <v>749.89</v>
      </c>
    </row>
    <row r="184" spans="1:7" ht="22.5" x14ac:dyDescent="0.25">
      <c r="A184" s="13">
        <v>12542</v>
      </c>
      <c r="B184" s="14">
        <v>43402.571875000001</v>
      </c>
      <c r="C184" s="13" t="s">
        <v>10</v>
      </c>
      <c r="D184" s="13" t="str">
        <f t="shared" si="10"/>
        <v>MATERIALE PROTESICO</v>
      </c>
      <c r="E184" s="13" t="str">
        <f t="shared" si="11"/>
        <v>SMITH &amp; NEPHEW SRL Societa Unipersonale</v>
      </c>
      <c r="F184" s="13" t="s">
        <v>14</v>
      </c>
      <c r="G184" s="15">
        <v>715.45</v>
      </c>
    </row>
    <row r="185" spans="1:7" ht="22.5" x14ac:dyDescent="0.25">
      <c r="A185" s="13">
        <v>12543</v>
      </c>
      <c r="B185" s="14">
        <v>43402.571875000001</v>
      </c>
      <c r="C185" s="13" t="s">
        <v>10</v>
      </c>
      <c r="D185" s="13" t="str">
        <f t="shared" si="10"/>
        <v>MATERIALE PROTESICO</v>
      </c>
      <c r="E185" s="13" t="str">
        <f t="shared" si="11"/>
        <v>SMITH &amp; NEPHEW SRL Societa Unipersonale</v>
      </c>
      <c r="F185" s="13" t="s">
        <v>14</v>
      </c>
      <c r="G185" s="15">
        <v>1071.33</v>
      </c>
    </row>
    <row r="186" spans="1:7" ht="22.5" x14ac:dyDescent="0.25">
      <c r="A186" s="13">
        <v>12544</v>
      </c>
      <c r="B186" s="14">
        <v>43402.571875000001</v>
      </c>
      <c r="C186" s="13" t="s">
        <v>10</v>
      </c>
      <c r="D186" s="13" t="str">
        <f>"OSSIGENO E GAS MEDICALI"</f>
        <v>OSSIGENO E GAS MEDICALI</v>
      </c>
      <c r="E186" s="13" t="str">
        <f>"SICO Societa Italiana Carburo Ossigeno SPA"</f>
        <v>SICO Societa Italiana Carburo Ossigeno SPA</v>
      </c>
      <c r="F186" s="13" t="str">
        <f>"ACQ.BENI SAN.DA ALTRE STR.SANITARIE"</f>
        <v>ACQ.BENI SAN.DA ALTRE STR.SANITARIE</v>
      </c>
      <c r="G186" s="15">
        <v>1762.76</v>
      </c>
    </row>
    <row r="187" spans="1:7" ht="33.75" x14ac:dyDescent="0.25">
      <c r="A187" s="13">
        <v>12545</v>
      </c>
      <c r="B187" s="14">
        <v>43402.571875000001</v>
      </c>
      <c r="C187" s="13" t="s">
        <v>10</v>
      </c>
      <c r="D187" s="13" t="str">
        <f>"PRESIDI MEDICO-CHIRURGICI GENERICI E AUSILI TECNICI PER DISABILI M"</f>
        <v>PRESIDI MEDICO-CHIRURGICI GENERICI E AUSILI TECNICI PER DISABILI M</v>
      </c>
      <c r="E187" s="13" t="str">
        <f>"SANTEX SPA"</f>
        <v>SANTEX SPA</v>
      </c>
      <c r="F187" s="13" t="s">
        <v>14</v>
      </c>
      <c r="G187" s="15">
        <v>217.2</v>
      </c>
    </row>
    <row r="188" spans="1:7" ht="33.75" x14ac:dyDescent="0.25">
      <c r="A188" s="13">
        <v>12546</v>
      </c>
      <c r="B188" s="14">
        <v>43402.571875000001</v>
      </c>
      <c r="C188" s="13" t="s">
        <v>10</v>
      </c>
      <c r="D188" s="13" t="str">
        <f>"PRESIDI MEDICO-CHIRURGICI GENERICI E AUSILI TECNICI PER DISABILI T"</f>
        <v>PRESIDI MEDICO-CHIRURGICI GENERICI E AUSILI TECNICI PER DISABILI T</v>
      </c>
      <c r="E188" s="13" t="str">
        <f>"SANTEX SPA"</f>
        <v>SANTEX SPA</v>
      </c>
      <c r="F188" s="13" t="s">
        <v>14</v>
      </c>
      <c r="G188" s="15">
        <v>5449.2</v>
      </c>
    </row>
    <row r="189" spans="1:7" ht="22.5" x14ac:dyDescent="0.25">
      <c r="A189" s="13">
        <v>12547</v>
      </c>
      <c r="B189" s="14">
        <v>43402.571875000001</v>
      </c>
      <c r="C189" s="13" t="s">
        <v>10</v>
      </c>
      <c r="D189" s="13" t="str">
        <f>"PRODOTTI FARMACEUTICI CON AIC"</f>
        <v>PRODOTTI FARMACEUTICI CON AIC</v>
      </c>
      <c r="E189" s="13" t="str">
        <f>"S.A.L.F. SPA"</f>
        <v>S.A.L.F. SPA</v>
      </c>
      <c r="F189" s="13" t="s">
        <v>14</v>
      </c>
      <c r="G189" s="15">
        <v>1419.46</v>
      </c>
    </row>
    <row r="190" spans="1:7" ht="22.5" x14ac:dyDescent="0.25">
      <c r="A190" s="13">
        <v>12548</v>
      </c>
      <c r="B190" s="14">
        <v>43402.571875000001</v>
      </c>
      <c r="C190" s="13" t="s">
        <v>10</v>
      </c>
      <c r="D190" s="13" t="str">
        <f>"PRODOTTI FARMACEUTICI CON AIC"</f>
        <v>PRODOTTI FARMACEUTICI CON AIC</v>
      </c>
      <c r="E190" s="13" t="str">
        <f>"SANOFI SPA"</f>
        <v>SANOFI SPA</v>
      </c>
      <c r="F190" s="13" t="s">
        <v>14</v>
      </c>
      <c r="G190" s="15">
        <v>8.9600000000000009</v>
      </c>
    </row>
    <row r="191" spans="1:7" ht="22.5" x14ac:dyDescent="0.25">
      <c r="A191" s="13">
        <v>12549</v>
      </c>
      <c r="B191" s="14">
        <v>43402.571875000001</v>
      </c>
      <c r="C191" s="13" t="s">
        <v>10</v>
      </c>
      <c r="D191" s="13" t="str">
        <f>"PRODOTTI FARMACEUTICI CON AIC"</f>
        <v>PRODOTTI FARMACEUTICI CON AIC</v>
      </c>
      <c r="E191" s="13" t="str">
        <f>"SANOFI SPA"</f>
        <v>SANOFI SPA</v>
      </c>
      <c r="F191" s="13" t="s">
        <v>14</v>
      </c>
      <c r="G191" s="15">
        <v>55.2</v>
      </c>
    </row>
    <row r="192" spans="1:7" ht="22.5" x14ac:dyDescent="0.25">
      <c r="A192" s="13">
        <v>12550</v>
      </c>
      <c r="B192" s="14">
        <v>43402.571875000001</v>
      </c>
      <c r="C192" s="13" t="s">
        <v>10</v>
      </c>
      <c r="D192" s="13" t="str">
        <f>"PRODOTTI FARMACEUTICI CON AIC"</f>
        <v>PRODOTTI FARMACEUTICI CON AIC</v>
      </c>
      <c r="E192" s="13" t="str">
        <f>"SANOFI SPA"</f>
        <v>SANOFI SPA</v>
      </c>
      <c r="F192" s="13" t="s">
        <v>14</v>
      </c>
      <c r="G192" s="15">
        <v>1028.6500000000001</v>
      </c>
    </row>
    <row r="193" spans="1:7" ht="22.5" x14ac:dyDescent="0.25">
      <c r="A193" s="13">
        <v>12551</v>
      </c>
      <c r="B193" s="14">
        <v>43402.571875000001</v>
      </c>
      <c r="C193" s="13" t="s">
        <v>10</v>
      </c>
      <c r="D193" s="13" t="str">
        <f>"PRODOTTI FARMACEUTICI CON AIC"</f>
        <v>PRODOTTI FARMACEUTICI CON AIC</v>
      </c>
      <c r="E193" s="13" t="str">
        <f>"SANOFI SPA"</f>
        <v>SANOFI SPA</v>
      </c>
      <c r="F193" s="13" t="s">
        <v>14</v>
      </c>
      <c r="G193" s="15">
        <v>230.4</v>
      </c>
    </row>
    <row r="194" spans="1:7" ht="33.75" x14ac:dyDescent="0.25">
      <c r="A194" s="13">
        <v>12552</v>
      </c>
      <c r="B194" s="14">
        <v>43402.571886574071</v>
      </c>
      <c r="C194" s="13" t="s">
        <v>10</v>
      </c>
      <c r="D194" s="13" t="str">
        <f>"APP.RE SANITARIE E RELATIVI COMPONENTI ACCESSORI E MATERIALE RADIOGRAFICO (Z)"</f>
        <v>APP.RE SANITARIE E RELATIVI COMPONENTI ACCESSORI E MATERIALE RADIOGRAFICO (Z)</v>
      </c>
      <c r="E194" s="13" t="str">
        <f>"SMITH &amp; NEPHEW SRL Societa Unipersonale"</f>
        <v>SMITH &amp; NEPHEW SRL Societa Unipersonale</v>
      </c>
      <c r="F194" s="13" t="s">
        <v>14</v>
      </c>
      <c r="G194" s="15">
        <v>207.9</v>
      </c>
    </row>
    <row r="195" spans="1:7" ht="33.75" x14ac:dyDescent="0.25">
      <c r="A195" s="13">
        <v>12553</v>
      </c>
      <c r="B195" s="14">
        <v>43402.571886574071</v>
      </c>
      <c r="C195" s="13" t="s">
        <v>10</v>
      </c>
      <c r="D195" s="13" t="str">
        <f>"DISPOSITIVI DI SOMMINISTRAZIONE, PRELIEVO E RACCOLTA (CIN A)"</f>
        <v>DISPOSITIVI DI SOMMINISTRAZIONE, PRELIEVO E RACCOLTA (CIN A)</v>
      </c>
      <c r="E195" s="13" t="str">
        <f>"SMITH &amp; NEPHEW SRL Societa Unipersonale"</f>
        <v>SMITH &amp; NEPHEW SRL Societa Unipersonale</v>
      </c>
      <c r="F195" s="13" t="s">
        <v>14</v>
      </c>
      <c r="G195" s="15">
        <v>223.9</v>
      </c>
    </row>
    <row r="196" spans="1:7" ht="33.75" x14ac:dyDescent="0.25">
      <c r="A196" s="13">
        <v>12554</v>
      </c>
      <c r="B196" s="14">
        <v>43402.571886574071</v>
      </c>
      <c r="C196" s="13" t="s">
        <v>10</v>
      </c>
      <c r="D196" s="13" t="str">
        <f>"DISPOSITIVI DI SOMMINISTRAZIONE, PRELIEVO E RACCOLTA (CIN A)"</f>
        <v>DISPOSITIVI DI SOMMINISTRAZIONE, PRELIEVO E RACCOLTA (CIN A)</v>
      </c>
      <c r="E196" s="13" t="str">
        <f>"SMITHS MEDICAL ITALIA SRL"</f>
        <v>SMITHS MEDICAL ITALIA SRL</v>
      </c>
      <c r="F196" s="13" t="s">
        <v>14</v>
      </c>
      <c r="G196" s="15">
        <v>124</v>
      </c>
    </row>
    <row r="197" spans="1:7" ht="22.5" x14ac:dyDescent="0.25">
      <c r="A197" s="13">
        <v>12555</v>
      </c>
      <c r="B197" s="14">
        <v>43402.571886574071</v>
      </c>
      <c r="C197" s="13" t="s">
        <v>10</v>
      </c>
      <c r="D197" s="13" t="str">
        <f t="shared" ref="D197:D208" si="12">"MATERIALE PROTESICO"</f>
        <v>MATERIALE PROTESICO</v>
      </c>
      <c r="E197" s="13" t="str">
        <f t="shared" ref="E197:E208" si="13">"SMITH &amp; NEPHEW SRL Societa Unipersonale"</f>
        <v>SMITH &amp; NEPHEW SRL Societa Unipersonale</v>
      </c>
      <c r="F197" s="13" t="s">
        <v>14</v>
      </c>
      <c r="G197" s="15">
        <v>979</v>
      </c>
    </row>
    <row r="198" spans="1:7" ht="22.5" x14ac:dyDescent="0.25">
      <c r="A198" s="13">
        <v>12556</v>
      </c>
      <c r="B198" s="14">
        <v>43402.571886574071</v>
      </c>
      <c r="C198" s="13" t="s">
        <v>10</v>
      </c>
      <c r="D198" s="13" t="str">
        <f t="shared" si="12"/>
        <v>MATERIALE PROTESICO</v>
      </c>
      <c r="E198" s="13" t="str">
        <f t="shared" si="13"/>
        <v>SMITH &amp; NEPHEW SRL Societa Unipersonale</v>
      </c>
      <c r="F198" s="13" t="s">
        <v>14</v>
      </c>
      <c r="G198" s="15">
        <v>885.5</v>
      </c>
    </row>
    <row r="199" spans="1:7" ht="22.5" x14ac:dyDescent="0.25">
      <c r="A199" s="13">
        <v>12557</v>
      </c>
      <c r="B199" s="14">
        <v>43402.571886574071</v>
      </c>
      <c r="C199" s="13" t="s">
        <v>10</v>
      </c>
      <c r="D199" s="13" t="str">
        <f t="shared" si="12"/>
        <v>MATERIALE PROTESICO</v>
      </c>
      <c r="E199" s="13" t="str">
        <f t="shared" si="13"/>
        <v>SMITH &amp; NEPHEW SRL Societa Unipersonale</v>
      </c>
      <c r="F199" s="13" t="s">
        <v>14</v>
      </c>
      <c r="G199" s="15">
        <v>660</v>
      </c>
    </row>
    <row r="200" spans="1:7" ht="22.5" x14ac:dyDescent="0.25">
      <c r="A200" s="13">
        <v>12558</v>
      </c>
      <c r="B200" s="14">
        <v>43402.571886574071</v>
      </c>
      <c r="C200" s="13" t="s">
        <v>10</v>
      </c>
      <c r="D200" s="13" t="str">
        <f t="shared" si="12"/>
        <v>MATERIALE PROTESICO</v>
      </c>
      <c r="E200" s="13" t="str">
        <f t="shared" si="13"/>
        <v>SMITH &amp; NEPHEW SRL Societa Unipersonale</v>
      </c>
      <c r="F200" s="13" t="s">
        <v>14</v>
      </c>
      <c r="G200" s="15">
        <v>395</v>
      </c>
    </row>
    <row r="201" spans="1:7" ht="22.5" x14ac:dyDescent="0.25">
      <c r="A201" s="13">
        <v>12559</v>
      </c>
      <c r="B201" s="14">
        <v>43402.571886574071</v>
      </c>
      <c r="C201" s="13" t="s">
        <v>10</v>
      </c>
      <c r="D201" s="13" t="str">
        <f t="shared" si="12"/>
        <v>MATERIALE PROTESICO</v>
      </c>
      <c r="E201" s="13" t="str">
        <f t="shared" si="13"/>
        <v>SMITH &amp; NEPHEW SRL Societa Unipersonale</v>
      </c>
      <c r="F201" s="13" t="s">
        <v>14</v>
      </c>
      <c r="G201" s="15">
        <v>2990.5</v>
      </c>
    </row>
    <row r="202" spans="1:7" ht="22.5" x14ac:dyDescent="0.25">
      <c r="A202" s="13">
        <v>12560</v>
      </c>
      <c r="B202" s="14">
        <v>43402.571886574071</v>
      </c>
      <c r="C202" s="13" t="s">
        <v>10</v>
      </c>
      <c r="D202" s="13" t="str">
        <f t="shared" si="12"/>
        <v>MATERIALE PROTESICO</v>
      </c>
      <c r="E202" s="13" t="str">
        <f t="shared" si="13"/>
        <v>SMITH &amp; NEPHEW SRL Societa Unipersonale</v>
      </c>
      <c r="F202" s="13" t="s">
        <v>14</v>
      </c>
      <c r="G202" s="15">
        <v>175</v>
      </c>
    </row>
    <row r="203" spans="1:7" ht="22.5" x14ac:dyDescent="0.25">
      <c r="A203" s="13">
        <v>12561</v>
      </c>
      <c r="B203" s="14">
        <v>43402.571886574071</v>
      </c>
      <c r="C203" s="13" t="s">
        <v>10</v>
      </c>
      <c r="D203" s="13" t="str">
        <f t="shared" si="12"/>
        <v>MATERIALE PROTESICO</v>
      </c>
      <c r="E203" s="13" t="str">
        <f t="shared" si="13"/>
        <v>SMITH &amp; NEPHEW SRL Societa Unipersonale</v>
      </c>
      <c r="F203" s="13" t="s">
        <v>14</v>
      </c>
      <c r="G203" s="15">
        <v>175</v>
      </c>
    </row>
    <row r="204" spans="1:7" ht="22.5" x14ac:dyDescent="0.25">
      <c r="A204" s="13">
        <v>12562</v>
      </c>
      <c r="B204" s="14">
        <v>43402.571886574071</v>
      </c>
      <c r="C204" s="13" t="s">
        <v>10</v>
      </c>
      <c r="D204" s="13" t="str">
        <f t="shared" si="12"/>
        <v>MATERIALE PROTESICO</v>
      </c>
      <c r="E204" s="13" t="str">
        <f t="shared" si="13"/>
        <v>SMITH &amp; NEPHEW SRL Societa Unipersonale</v>
      </c>
      <c r="F204" s="13" t="s">
        <v>14</v>
      </c>
      <c r="G204" s="15">
        <v>220</v>
      </c>
    </row>
    <row r="205" spans="1:7" ht="22.5" x14ac:dyDescent="0.25">
      <c r="A205" s="13">
        <v>12563</v>
      </c>
      <c r="B205" s="14">
        <v>43402.571886574071</v>
      </c>
      <c r="C205" s="13" t="s">
        <v>10</v>
      </c>
      <c r="D205" s="13" t="str">
        <f t="shared" si="12"/>
        <v>MATERIALE PROTESICO</v>
      </c>
      <c r="E205" s="13" t="str">
        <f t="shared" si="13"/>
        <v>SMITH &amp; NEPHEW SRL Societa Unipersonale</v>
      </c>
      <c r="F205" s="13" t="s">
        <v>14</v>
      </c>
      <c r="G205" s="15">
        <v>175</v>
      </c>
    </row>
    <row r="206" spans="1:7" ht="22.5" x14ac:dyDescent="0.25">
      <c r="A206" s="13">
        <v>12564</v>
      </c>
      <c r="B206" s="14">
        <v>43402.571886574071</v>
      </c>
      <c r="C206" s="13" t="s">
        <v>10</v>
      </c>
      <c r="D206" s="13" t="str">
        <f t="shared" si="12"/>
        <v>MATERIALE PROTESICO</v>
      </c>
      <c r="E206" s="13" t="str">
        <f t="shared" si="13"/>
        <v>SMITH &amp; NEPHEW SRL Societa Unipersonale</v>
      </c>
      <c r="F206" s="13" t="s">
        <v>14</v>
      </c>
      <c r="G206" s="15">
        <v>175</v>
      </c>
    </row>
    <row r="207" spans="1:7" ht="22.5" x14ac:dyDescent="0.25">
      <c r="A207" s="13">
        <v>12565</v>
      </c>
      <c r="B207" s="14">
        <v>43402.571886574071</v>
      </c>
      <c r="C207" s="13" t="s">
        <v>10</v>
      </c>
      <c r="D207" s="13" t="str">
        <f t="shared" si="12"/>
        <v>MATERIALE PROTESICO</v>
      </c>
      <c r="E207" s="13" t="str">
        <f t="shared" si="13"/>
        <v>SMITH &amp; NEPHEW SRL Societa Unipersonale</v>
      </c>
      <c r="F207" s="13" t="s">
        <v>14</v>
      </c>
      <c r="G207" s="15">
        <v>932.05</v>
      </c>
    </row>
    <row r="208" spans="1:7" ht="22.5" x14ac:dyDescent="0.25">
      <c r="A208" s="13">
        <v>12566</v>
      </c>
      <c r="B208" s="14">
        <v>43402.571886574071</v>
      </c>
      <c r="C208" s="13" t="s">
        <v>10</v>
      </c>
      <c r="D208" s="13" t="str">
        <f t="shared" si="12"/>
        <v>MATERIALE PROTESICO</v>
      </c>
      <c r="E208" s="13" t="str">
        <f t="shared" si="13"/>
        <v>SMITH &amp; NEPHEW SRL Societa Unipersonale</v>
      </c>
      <c r="F208" s="13" t="s">
        <v>14</v>
      </c>
      <c r="G208" s="15">
        <v>175</v>
      </c>
    </row>
    <row r="209" spans="1:7" ht="33.75" x14ac:dyDescent="0.25">
      <c r="A209" s="13">
        <v>12567</v>
      </c>
      <c r="B209" s="14">
        <v>43402.571886574071</v>
      </c>
      <c r="C209" s="13" t="s">
        <v>10</v>
      </c>
      <c r="D209" s="13" t="str">
        <f>"PRESIDI MEDICO-CHIRURGICI GENERICI E AUSILI TECNICI PER DISABILI T"</f>
        <v>PRESIDI MEDICO-CHIRURGICI GENERICI E AUSILI TECNICI PER DISABILI T</v>
      </c>
      <c r="E209" s="13" t="str">
        <f>"SMITHS MEDICAL ITALIA SRL"</f>
        <v>SMITHS MEDICAL ITALIA SRL</v>
      </c>
      <c r="F209" s="13" t="s">
        <v>14</v>
      </c>
      <c r="G209" s="15">
        <v>2460</v>
      </c>
    </row>
    <row r="210" spans="1:7" ht="22.5" x14ac:dyDescent="0.25">
      <c r="A210" s="13">
        <v>12568</v>
      </c>
      <c r="B210" s="14">
        <v>43402.571886574071</v>
      </c>
      <c r="C210" s="13" t="s">
        <v>10</v>
      </c>
      <c r="D210" s="13" t="str">
        <f>"PRESIDI MEDICO-CHIRURGICI SPECIALISTICI R"</f>
        <v>PRESIDI MEDICO-CHIRURGICI SPECIALISTICI R</v>
      </c>
      <c r="E210" s="13" t="str">
        <f>"SMITHS MEDICAL ITALIA SRL"</f>
        <v>SMITHS MEDICAL ITALIA SRL</v>
      </c>
      <c r="F210" s="13" t="s">
        <v>14</v>
      </c>
      <c r="G210" s="15">
        <v>94.5</v>
      </c>
    </row>
    <row r="211" spans="1:7" ht="22.5" x14ac:dyDescent="0.25">
      <c r="A211" s="13">
        <v>12569</v>
      </c>
      <c r="B211" s="14">
        <v>43402.571886574071</v>
      </c>
      <c r="C211" s="13" t="s">
        <v>10</v>
      </c>
      <c r="D211" s="13" t="str">
        <f>"PRESIDI MEDICO-CHIRURGICI SPECIALISTICI R"</f>
        <v>PRESIDI MEDICO-CHIRURGICI SPECIALISTICI R</v>
      </c>
      <c r="E211" s="13" t="str">
        <f>"SMITHS MEDICAL ITALIA SRL"</f>
        <v>SMITHS MEDICAL ITALIA SRL</v>
      </c>
      <c r="F211" s="13" t="s">
        <v>14</v>
      </c>
      <c r="G211" s="15">
        <v>126</v>
      </c>
    </row>
    <row r="212" spans="1:7" ht="22.5" x14ac:dyDescent="0.25">
      <c r="A212" s="13">
        <v>12570</v>
      </c>
      <c r="B212" s="14">
        <v>43402.665509259263</v>
      </c>
      <c r="C212" s="13" t="s">
        <v>10</v>
      </c>
      <c r="D212" s="13" t="str">
        <f>"MATERIALE PROTESICO"</f>
        <v>MATERIALE PROTESICO</v>
      </c>
      <c r="E212" s="13" t="str">
        <f>"ST. JACQUES MEDICAL SRL Semplificata"</f>
        <v>ST. JACQUES MEDICAL SRL Semplificata</v>
      </c>
      <c r="F212" s="13" t="s">
        <v>14</v>
      </c>
      <c r="G212" s="15">
        <v>2100</v>
      </c>
    </row>
    <row r="213" spans="1:7" ht="22.5" x14ac:dyDescent="0.25">
      <c r="A213" s="13">
        <v>12571</v>
      </c>
      <c r="B213" s="14">
        <v>43402.665509259263</v>
      </c>
      <c r="C213" s="13" t="s">
        <v>10</v>
      </c>
      <c r="D213" s="13" t="str">
        <f>"MATERIALE PROTESICO"</f>
        <v>MATERIALE PROTESICO</v>
      </c>
      <c r="E213" s="13" t="str">
        <f>"ST. JACQUES MEDICAL SRL Semplificata"</f>
        <v>ST. JACQUES MEDICAL SRL Semplificata</v>
      </c>
      <c r="F213" s="13" t="s">
        <v>14</v>
      </c>
      <c r="G213" s="15">
        <v>1140</v>
      </c>
    </row>
    <row r="214" spans="1:7" ht="22.5" x14ac:dyDescent="0.25">
      <c r="A214" s="13">
        <v>12572</v>
      </c>
      <c r="B214" s="14">
        <v>43402.665509259263</v>
      </c>
      <c r="C214" s="13" t="s">
        <v>10</v>
      </c>
      <c r="D214" s="13" t="str">
        <f>"MATERIALI DI GUARDAROBA E CONVIVENZA"</f>
        <v>MATERIALI DI GUARDAROBA E CONVIVENZA</v>
      </c>
      <c r="E214" s="13" t="str">
        <f>"STERIS SRL"</f>
        <v>STERIS SRL</v>
      </c>
      <c r="F214" s="13" t="s">
        <v>14</v>
      </c>
      <c r="G214" s="15">
        <v>920</v>
      </c>
    </row>
    <row r="215" spans="1:7" ht="22.5" x14ac:dyDescent="0.25">
      <c r="A215" s="13">
        <v>12573</v>
      </c>
      <c r="B215" s="14">
        <v>43402.665520833332</v>
      </c>
      <c r="C215" s="13" t="s">
        <v>10</v>
      </c>
      <c r="D215" s="13" t="str">
        <f>"DISPOSITIVI PER APPARATO CARDIOCIRCOLATORIO (C)"</f>
        <v>DISPOSITIVI PER APPARATO CARDIOCIRCOLATORIO (C)</v>
      </c>
      <c r="E215" s="13" t="str">
        <f>"VYGON ITALIA SRL"</f>
        <v>VYGON ITALIA SRL</v>
      </c>
      <c r="F215" s="13" t="s">
        <v>14</v>
      </c>
      <c r="G215" s="15">
        <v>627</v>
      </c>
    </row>
    <row r="216" spans="1:7" ht="22.5" x14ac:dyDescent="0.25">
      <c r="A216" s="13">
        <v>12574</v>
      </c>
      <c r="B216" s="14">
        <v>43402.665520833332</v>
      </c>
      <c r="C216" s="13" t="s">
        <v>10</v>
      </c>
      <c r="D216" s="13" t="str">
        <f>"FARMACI FILE F"</f>
        <v>FARMACI FILE F</v>
      </c>
      <c r="E216" s="13" t="str">
        <f>"UCB PHARMA SPA"</f>
        <v>UCB PHARMA SPA</v>
      </c>
      <c r="F216" s="13" t="s">
        <v>14</v>
      </c>
      <c r="G216" s="15">
        <v>13661</v>
      </c>
    </row>
    <row r="217" spans="1:7" ht="22.5" x14ac:dyDescent="0.25">
      <c r="A217" s="13">
        <v>12575</v>
      </c>
      <c r="B217" s="14">
        <v>43402.665520833332</v>
      </c>
      <c r="C217" s="13" t="s">
        <v>10</v>
      </c>
      <c r="D217" s="13" t="str">
        <f t="shared" ref="D217:D239" si="14">"MATERIALE PROTESICO"</f>
        <v>MATERIALE PROTESICO</v>
      </c>
      <c r="E217" s="13" t="str">
        <f>"BIOTIM SRL"</f>
        <v>BIOTIM SRL</v>
      </c>
      <c r="F217" s="13" t="s">
        <v>14</v>
      </c>
      <c r="G217" s="15">
        <v>194.4</v>
      </c>
    </row>
    <row r="218" spans="1:7" ht="22.5" x14ac:dyDescent="0.25">
      <c r="A218" s="13">
        <v>12576</v>
      </c>
      <c r="B218" s="14">
        <v>43402.665520833332</v>
      </c>
      <c r="C218" s="13" t="s">
        <v>10</v>
      </c>
      <c r="D218" s="13" t="str">
        <f t="shared" si="14"/>
        <v>MATERIALE PROTESICO</v>
      </c>
      <c r="E218" s="13" t="str">
        <f>"BIOTIM SRL"</f>
        <v>BIOTIM SRL</v>
      </c>
      <c r="F218" s="13" t="s">
        <v>14</v>
      </c>
      <c r="G218" s="15">
        <v>788.4</v>
      </c>
    </row>
    <row r="219" spans="1:7" ht="22.5" x14ac:dyDescent="0.25">
      <c r="A219" s="13">
        <v>12577</v>
      </c>
      <c r="B219" s="14">
        <v>43402.665520833332</v>
      </c>
      <c r="C219" s="13" t="s">
        <v>10</v>
      </c>
      <c r="D219" s="13" t="str">
        <f t="shared" si="14"/>
        <v>MATERIALE PROTESICO</v>
      </c>
      <c r="E219" s="13" t="str">
        <f>"STRYKER ITALIA SRL"</f>
        <v>STRYKER ITALIA SRL</v>
      </c>
      <c r="F219" s="13" t="s">
        <v>14</v>
      </c>
      <c r="G219" s="15">
        <v>1137</v>
      </c>
    </row>
    <row r="220" spans="1:7" ht="22.5" x14ac:dyDescent="0.25">
      <c r="A220" s="13">
        <v>12578</v>
      </c>
      <c r="B220" s="14">
        <v>43402.665520833332</v>
      </c>
      <c r="C220" s="13" t="s">
        <v>10</v>
      </c>
      <c r="D220" s="13" t="str">
        <f t="shared" si="14"/>
        <v>MATERIALE PROTESICO</v>
      </c>
      <c r="E220" s="13" t="str">
        <f>"STRYKER ITALIA SRL"</f>
        <v>STRYKER ITALIA SRL</v>
      </c>
      <c r="F220" s="13" t="s">
        <v>14</v>
      </c>
      <c r="G220" s="15">
        <v>2832</v>
      </c>
    </row>
    <row r="221" spans="1:7" ht="22.5" x14ac:dyDescent="0.25">
      <c r="A221" s="13">
        <v>12579</v>
      </c>
      <c r="B221" s="14">
        <v>43402.665520833332</v>
      </c>
      <c r="C221" s="13" t="s">
        <v>10</v>
      </c>
      <c r="D221" s="13" t="str">
        <f t="shared" si="14"/>
        <v>MATERIALE PROTESICO</v>
      </c>
      <c r="E221" s="13" t="str">
        <f>"STRYKER ITALIA SRL"</f>
        <v>STRYKER ITALIA SRL</v>
      </c>
      <c r="F221" s="13" t="s">
        <v>14</v>
      </c>
      <c r="G221" s="15">
        <v>372.36</v>
      </c>
    </row>
    <row r="222" spans="1:7" ht="22.5" x14ac:dyDescent="0.25">
      <c r="A222" s="13">
        <v>12580</v>
      </c>
      <c r="B222" s="14">
        <v>43402.665520833332</v>
      </c>
      <c r="C222" s="13" t="s">
        <v>10</v>
      </c>
      <c r="D222" s="13" t="str">
        <f t="shared" si="14"/>
        <v>MATERIALE PROTESICO</v>
      </c>
      <c r="E222" s="13" t="str">
        <f>"STRYKER ITALIA SRL"</f>
        <v>STRYKER ITALIA SRL</v>
      </c>
      <c r="F222" s="13" t="s">
        <v>14</v>
      </c>
      <c r="G222" s="15">
        <v>4131.3999999999996</v>
      </c>
    </row>
    <row r="223" spans="1:7" ht="22.5" x14ac:dyDescent="0.25">
      <c r="A223" s="13">
        <v>12581</v>
      </c>
      <c r="B223" s="14">
        <v>43402.665520833332</v>
      </c>
      <c r="C223" s="13" t="s">
        <v>10</v>
      </c>
      <c r="D223" s="13" t="str">
        <f t="shared" si="14"/>
        <v>MATERIALE PROTESICO</v>
      </c>
      <c r="E223" s="13" t="str">
        <f>"STRYKER ITALIA SRL"</f>
        <v>STRYKER ITALIA SRL</v>
      </c>
      <c r="F223" s="13" t="s">
        <v>14</v>
      </c>
      <c r="G223" s="15">
        <v>176</v>
      </c>
    </row>
    <row r="224" spans="1:7" ht="22.5" x14ac:dyDescent="0.25">
      <c r="A224" s="13">
        <v>12582</v>
      </c>
      <c r="B224" s="14">
        <v>43402.665520833332</v>
      </c>
      <c r="C224" s="13" t="s">
        <v>10</v>
      </c>
      <c r="D224" s="13" t="str">
        <f t="shared" si="14"/>
        <v>MATERIALE PROTESICO</v>
      </c>
      <c r="E224" s="13" t="str">
        <f>"WRIGHT MEDICAL ITALY SRL a Socio Unico"</f>
        <v>WRIGHT MEDICAL ITALY SRL a Socio Unico</v>
      </c>
      <c r="F224" s="13" t="s">
        <v>14</v>
      </c>
      <c r="G224" s="15">
        <v>1509.6</v>
      </c>
    </row>
    <row r="225" spans="1:7" ht="22.5" x14ac:dyDescent="0.25">
      <c r="A225" s="13">
        <v>12583</v>
      </c>
      <c r="B225" s="14">
        <v>43402.665520833332</v>
      </c>
      <c r="C225" s="13" t="s">
        <v>10</v>
      </c>
      <c r="D225" s="13" t="str">
        <f t="shared" si="14"/>
        <v>MATERIALE PROTESICO</v>
      </c>
      <c r="E225" s="13" t="str">
        <f t="shared" ref="E225:E239" si="15">"ZIMMER BIOMET ITALIA SRL"</f>
        <v>ZIMMER BIOMET ITALIA SRL</v>
      </c>
      <c r="F225" s="13" t="s">
        <v>14</v>
      </c>
      <c r="G225" s="15">
        <v>2662.37</v>
      </c>
    </row>
    <row r="226" spans="1:7" ht="22.5" x14ac:dyDescent="0.25">
      <c r="A226" s="13">
        <v>12584</v>
      </c>
      <c r="B226" s="14">
        <v>43402.665520833332</v>
      </c>
      <c r="C226" s="13" t="s">
        <v>10</v>
      </c>
      <c r="D226" s="13" t="str">
        <f t="shared" si="14"/>
        <v>MATERIALE PROTESICO</v>
      </c>
      <c r="E226" s="13" t="str">
        <f t="shared" si="15"/>
        <v>ZIMMER BIOMET ITALIA SRL</v>
      </c>
      <c r="F226" s="13" t="s">
        <v>14</v>
      </c>
      <c r="G226" s="15">
        <v>460.6</v>
      </c>
    </row>
    <row r="227" spans="1:7" ht="22.5" x14ac:dyDescent="0.25">
      <c r="A227" s="13">
        <v>12585</v>
      </c>
      <c r="B227" s="14">
        <v>43402.665520833332</v>
      </c>
      <c r="C227" s="13" t="s">
        <v>10</v>
      </c>
      <c r="D227" s="13" t="str">
        <f t="shared" si="14"/>
        <v>MATERIALE PROTESICO</v>
      </c>
      <c r="E227" s="13" t="str">
        <f t="shared" si="15"/>
        <v>ZIMMER BIOMET ITALIA SRL</v>
      </c>
      <c r="F227" s="13" t="s">
        <v>14</v>
      </c>
      <c r="G227" s="15">
        <v>460.6</v>
      </c>
    </row>
    <row r="228" spans="1:7" ht="22.5" x14ac:dyDescent="0.25">
      <c r="A228" s="13">
        <v>12586</v>
      </c>
      <c r="B228" s="14">
        <v>43402.665520833332</v>
      </c>
      <c r="C228" s="13" t="s">
        <v>10</v>
      </c>
      <c r="D228" s="13" t="str">
        <f t="shared" si="14"/>
        <v>MATERIALE PROTESICO</v>
      </c>
      <c r="E228" s="13" t="str">
        <f t="shared" si="15"/>
        <v>ZIMMER BIOMET ITALIA SRL</v>
      </c>
      <c r="F228" s="13" t="s">
        <v>14</v>
      </c>
      <c r="G228" s="15">
        <v>2662.37</v>
      </c>
    </row>
    <row r="229" spans="1:7" ht="22.5" x14ac:dyDescent="0.25">
      <c r="A229" s="13">
        <v>12587</v>
      </c>
      <c r="B229" s="14">
        <v>43402.665520833332</v>
      </c>
      <c r="C229" s="13" t="s">
        <v>10</v>
      </c>
      <c r="D229" s="13" t="str">
        <f t="shared" si="14"/>
        <v>MATERIALE PROTESICO</v>
      </c>
      <c r="E229" s="13" t="str">
        <f t="shared" si="15"/>
        <v>ZIMMER BIOMET ITALIA SRL</v>
      </c>
      <c r="F229" s="13" t="s">
        <v>14</v>
      </c>
      <c r="G229" s="15">
        <v>460.6</v>
      </c>
    </row>
    <row r="230" spans="1:7" ht="22.5" x14ac:dyDescent="0.25">
      <c r="A230" s="13">
        <v>12588</v>
      </c>
      <c r="B230" s="14">
        <v>43402.665520833332</v>
      </c>
      <c r="C230" s="13" t="s">
        <v>10</v>
      </c>
      <c r="D230" s="13" t="str">
        <f t="shared" si="14"/>
        <v>MATERIALE PROTESICO</v>
      </c>
      <c r="E230" s="13" t="str">
        <f t="shared" si="15"/>
        <v>ZIMMER BIOMET ITALIA SRL</v>
      </c>
      <c r="F230" s="13" t="s">
        <v>14</v>
      </c>
      <c r="G230" s="15">
        <v>150</v>
      </c>
    </row>
    <row r="231" spans="1:7" ht="22.5" x14ac:dyDescent="0.25">
      <c r="A231" s="13">
        <v>12589</v>
      </c>
      <c r="B231" s="14">
        <v>43402.665520833332</v>
      </c>
      <c r="C231" s="13" t="s">
        <v>10</v>
      </c>
      <c r="D231" s="13" t="str">
        <f t="shared" si="14"/>
        <v>MATERIALE PROTESICO</v>
      </c>
      <c r="E231" s="13" t="str">
        <f t="shared" si="15"/>
        <v>ZIMMER BIOMET ITALIA SRL</v>
      </c>
      <c r="F231" s="13" t="s">
        <v>14</v>
      </c>
      <c r="G231" s="15">
        <v>460.6</v>
      </c>
    </row>
    <row r="232" spans="1:7" ht="22.5" x14ac:dyDescent="0.25">
      <c r="A232" s="13">
        <v>12590</v>
      </c>
      <c r="B232" s="14">
        <v>43402.665520833332</v>
      </c>
      <c r="C232" s="13" t="s">
        <v>10</v>
      </c>
      <c r="D232" s="13" t="str">
        <f t="shared" si="14"/>
        <v>MATERIALE PROTESICO</v>
      </c>
      <c r="E232" s="13" t="str">
        <f t="shared" si="15"/>
        <v>ZIMMER BIOMET ITALIA SRL</v>
      </c>
      <c r="F232" s="13" t="s">
        <v>14</v>
      </c>
      <c r="G232" s="15">
        <v>3837.6</v>
      </c>
    </row>
    <row r="233" spans="1:7" ht="22.5" x14ac:dyDescent="0.25">
      <c r="A233" s="13">
        <v>12591</v>
      </c>
      <c r="B233" s="14">
        <v>43402.665520833332</v>
      </c>
      <c r="C233" s="13" t="s">
        <v>10</v>
      </c>
      <c r="D233" s="13" t="str">
        <f t="shared" si="14"/>
        <v>MATERIALE PROTESICO</v>
      </c>
      <c r="E233" s="13" t="str">
        <f t="shared" si="15"/>
        <v>ZIMMER BIOMET ITALIA SRL</v>
      </c>
      <c r="F233" s="13" t="s">
        <v>14</v>
      </c>
      <c r="G233" s="15">
        <v>460.6</v>
      </c>
    </row>
    <row r="234" spans="1:7" ht="22.5" x14ac:dyDescent="0.25">
      <c r="A234" s="13">
        <v>12592</v>
      </c>
      <c r="B234" s="14">
        <v>43402.665520833332</v>
      </c>
      <c r="C234" s="13" t="s">
        <v>10</v>
      </c>
      <c r="D234" s="13" t="str">
        <f t="shared" si="14"/>
        <v>MATERIALE PROTESICO</v>
      </c>
      <c r="E234" s="13" t="str">
        <f t="shared" si="15"/>
        <v>ZIMMER BIOMET ITALIA SRL</v>
      </c>
      <c r="F234" s="13" t="s">
        <v>14</v>
      </c>
      <c r="G234" s="15">
        <v>1420</v>
      </c>
    </row>
    <row r="235" spans="1:7" ht="22.5" x14ac:dyDescent="0.25">
      <c r="A235" s="13">
        <v>12593</v>
      </c>
      <c r="B235" s="14">
        <v>43402.665520833332</v>
      </c>
      <c r="C235" s="13" t="s">
        <v>10</v>
      </c>
      <c r="D235" s="13" t="str">
        <f t="shared" si="14"/>
        <v>MATERIALE PROTESICO</v>
      </c>
      <c r="E235" s="13" t="str">
        <f t="shared" si="15"/>
        <v>ZIMMER BIOMET ITALIA SRL</v>
      </c>
      <c r="F235" s="13" t="s">
        <v>14</v>
      </c>
      <c r="G235" s="15">
        <v>2662.37</v>
      </c>
    </row>
    <row r="236" spans="1:7" ht="22.5" x14ac:dyDescent="0.25">
      <c r="A236" s="13">
        <v>12594</v>
      </c>
      <c r="B236" s="14">
        <v>43402.665520833332</v>
      </c>
      <c r="C236" s="13" t="s">
        <v>10</v>
      </c>
      <c r="D236" s="13" t="str">
        <f t="shared" si="14"/>
        <v>MATERIALE PROTESICO</v>
      </c>
      <c r="E236" s="13" t="str">
        <f t="shared" si="15"/>
        <v>ZIMMER BIOMET ITALIA SRL</v>
      </c>
      <c r="F236" s="13" t="s">
        <v>14</v>
      </c>
      <c r="G236" s="15">
        <v>460.6</v>
      </c>
    </row>
    <row r="237" spans="1:7" ht="22.5" x14ac:dyDescent="0.25">
      <c r="A237" s="13">
        <v>12595</v>
      </c>
      <c r="B237" s="14">
        <v>43402.665520833332</v>
      </c>
      <c r="C237" s="13" t="s">
        <v>10</v>
      </c>
      <c r="D237" s="13" t="str">
        <f t="shared" si="14"/>
        <v>MATERIALE PROTESICO</v>
      </c>
      <c r="E237" s="13" t="str">
        <f t="shared" si="15"/>
        <v>ZIMMER BIOMET ITALIA SRL</v>
      </c>
      <c r="F237" s="13" t="s">
        <v>14</v>
      </c>
      <c r="G237" s="15">
        <v>2587.41</v>
      </c>
    </row>
    <row r="238" spans="1:7" ht="22.5" x14ac:dyDescent="0.25">
      <c r="A238" s="13">
        <v>12596</v>
      </c>
      <c r="B238" s="14">
        <v>43402.665520833332</v>
      </c>
      <c r="C238" s="13" t="s">
        <v>10</v>
      </c>
      <c r="D238" s="13" t="str">
        <f t="shared" si="14"/>
        <v>MATERIALE PROTESICO</v>
      </c>
      <c r="E238" s="13" t="str">
        <f t="shared" si="15"/>
        <v>ZIMMER BIOMET ITALIA SRL</v>
      </c>
      <c r="F238" s="13" t="s">
        <v>14</v>
      </c>
      <c r="G238" s="15">
        <v>213.2</v>
      </c>
    </row>
    <row r="239" spans="1:7" ht="22.5" x14ac:dyDescent="0.25">
      <c r="A239" s="13">
        <v>12597</v>
      </c>
      <c r="B239" s="14">
        <v>43402.665520833332</v>
      </c>
      <c r="C239" s="13" t="s">
        <v>10</v>
      </c>
      <c r="D239" s="13" t="str">
        <f t="shared" si="14"/>
        <v>MATERIALE PROTESICO</v>
      </c>
      <c r="E239" s="13" t="str">
        <f t="shared" si="15"/>
        <v>ZIMMER BIOMET ITALIA SRL</v>
      </c>
      <c r="F239" s="13" t="s">
        <v>14</v>
      </c>
      <c r="G239" s="15">
        <v>2797.6</v>
      </c>
    </row>
    <row r="240" spans="1:7" ht="22.5" x14ac:dyDescent="0.25">
      <c r="A240" s="13">
        <v>12598</v>
      </c>
      <c r="B240" s="14">
        <v>43402.665520833332</v>
      </c>
      <c r="C240" s="13" t="s">
        <v>10</v>
      </c>
      <c r="D240" s="13" t="str">
        <f>"PRESIDI MEDICO-CHIRURGICI SPECIALISTICI G"</f>
        <v>PRESIDI MEDICO-CHIRURGICI SPECIALISTICI G</v>
      </c>
      <c r="E240" s="13" t="str">
        <f>"VYGON ITALIA SRL"</f>
        <v>VYGON ITALIA SRL</v>
      </c>
      <c r="F240" s="13" t="s">
        <v>14</v>
      </c>
      <c r="G240" s="15">
        <v>5987.7</v>
      </c>
    </row>
    <row r="241" spans="1:7" ht="22.5" x14ac:dyDescent="0.25">
      <c r="A241" s="13">
        <v>12599</v>
      </c>
      <c r="B241" s="14">
        <v>43402.665520833332</v>
      </c>
      <c r="C241" s="13" t="s">
        <v>10</v>
      </c>
      <c r="D241" s="13" t="str">
        <f>"PRODOTTI FARMACEUTICI CON AIC"</f>
        <v>PRODOTTI FARMACEUTICI CON AIC</v>
      </c>
      <c r="E241" s="13" t="str">
        <f>"TEVA ITALIA SRL a Socio Unico"</f>
        <v>TEVA ITALIA SRL a Socio Unico</v>
      </c>
      <c r="F241" s="13" t="s">
        <v>14</v>
      </c>
      <c r="G241" s="15">
        <v>3254.07</v>
      </c>
    </row>
    <row r="242" spans="1:7" ht="22.5" x14ac:dyDescent="0.25">
      <c r="A242" s="13">
        <v>12600</v>
      </c>
      <c r="B242" s="14">
        <v>43402.665532407409</v>
      </c>
      <c r="C242" s="13" t="s">
        <v>10</v>
      </c>
      <c r="D242" s="13" t="str">
        <f>"FARMACI FILE F"</f>
        <v>FARMACI FILE F</v>
      </c>
      <c r="E242" s="13" t="str">
        <f>"BRISTOL - MYERS SQUIBB SRL Societa Unipersonale"</f>
        <v>BRISTOL - MYERS SQUIBB SRL Societa Unipersonale</v>
      </c>
      <c r="F242" s="13" t="s">
        <v>14</v>
      </c>
      <c r="G242" s="15">
        <v>31630.2</v>
      </c>
    </row>
    <row r="243" spans="1:7" ht="22.5" x14ac:dyDescent="0.25">
      <c r="A243" s="13">
        <v>12601</v>
      </c>
      <c r="B243" s="14">
        <v>43402.665532407409</v>
      </c>
      <c r="C243" s="13" t="s">
        <v>10</v>
      </c>
      <c r="D243" s="13" t="str">
        <f>"FARMACI FILE F"</f>
        <v>FARMACI FILE F</v>
      </c>
      <c r="E243" s="13" t="str">
        <f>"BRISTOL - MYERS SQUIBB SRL Societa Unipersonale"</f>
        <v>BRISTOL - MYERS SQUIBB SRL Societa Unipersonale</v>
      </c>
      <c r="F243" s="13" t="s">
        <v>14</v>
      </c>
      <c r="G243" s="15">
        <v>49066.080000000002</v>
      </c>
    </row>
    <row r="244" spans="1:7" ht="22.5" x14ac:dyDescent="0.25">
      <c r="A244" s="13">
        <v>12602</v>
      </c>
      <c r="B244" s="14">
        <v>43402.665532407409</v>
      </c>
      <c r="C244" s="13" t="s">
        <v>10</v>
      </c>
      <c r="D244" s="13" t="str">
        <f>"MATERIALE PROTESICO"</f>
        <v>MATERIALE PROTESICO</v>
      </c>
      <c r="E244" s="13" t="str">
        <f>"BIOTIM SRL"</f>
        <v>BIOTIM SRL</v>
      </c>
      <c r="F244" s="13" t="s">
        <v>14</v>
      </c>
      <c r="G244" s="15">
        <v>266.39999999999998</v>
      </c>
    </row>
    <row r="245" spans="1:7" ht="22.5" x14ac:dyDescent="0.25">
      <c r="A245" s="13">
        <v>12603</v>
      </c>
      <c r="B245" s="14">
        <v>43402.665532407409</v>
      </c>
      <c r="C245" s="13" t="s">
        <v>10</v>
      </c>
      <c r="D245" s="13" t="str">
        <f>"MATERIALE PROTESICO"</f>
        <v>MATERIALE PROTESICO</v>
      </c>
      <c r="E245" s="13" t="str">
        <f>"BIOTIM SRL"</f>
        <v>BIOTIM SRL</v>
      </c>
      <c r="F245" s="13" t="s">
        <v>14</v>
      </c>
      <c r="G245" s="15">
        <v>266.39999999999998</v>
      </c>
    </row>
    <row r="246" spans="1:7" ht="22.5" x14ac:dyDescent="0.25">
      <c r="A246" s="13">
        <v>12604</v>
      </c>
      <c r="B246" s="14">
        <v>43402.665532407409</v>
      </c>
      <c r="C246" s="13" t="s">
        <v>10</v>
      </c>
      <c r="D246" s="13" t="str">
        <f>"PRODOTTI FARMACEUTICI CON AIC"</f>
        <v>PRODOTTI FARMACEUTICI CON AIC</v>
      </c>
      <c r="E246" s="13" t="str">
        <f>"BOEHRINGER INGELHEIM ITALIA SPA"</f>
        <v>BOEHRINGER INGELHEIM ITALIA SPA</v>
      </c>
      <c r="F246" s="13" t="s">
        <v>14</v>
      </c>
      <c r="G246" s="15">
        <v>275.74</v>
      </c>
    </row>
    <row r="247" spans="1:7" ht="22.5" x14ac:dyDescent="0.25">
      <c r="A247" s="13">
        <v>12605</v>
      </c>
      <c r="B247" s="14">
        <v>43403.596388888887</v>
      </c>
      <c r="C247" s="13" t="s">
        <v>10</v>
      </c>
      <c r="D247" s="13" t="str">
        <f>"CONSULENZE SANITARIE DA PRIVATO"</f>
        <v>CONSULENZE SANITARIE DA PRIVATO</v>
      </c>
      <c r="E247" s="13" t="str">
        <f>"FOGLIATA VALENTINA"</f>
        <v>FOGLIATA VALENTINA</v>
      </c>
      <c r="F247" s="13" t="s">
        <v>19</v>
      </c>
      <c r="G247" s="15">
        <v>2102</v>
      </c>
    </row>
    <row r="248" spans="1:7" ht="22.5" x14ac:dyDescent="0.25">
      <c r="A248" s="13">
        <v>12606</v>
      </c>
      <c r="B248" s="14">
        <v>43403.596388888887</v>
      </c>
      <c r="C248" s="13" t="s">
        <v>10</v>
      </c>
      <c r="D248" s="13" t="str">
        <f>"CONSULENZE SANITARIE DA PRIVATO"</f>
        <v>CONSULENZE SANITARIE DA PRIVATO</v>
      </c>
      <c r="E248" s="13" t="str">
        <f>"TORGANO GIULIA"</f>
        <v>TORGANO GIULIA</v>
      </c>
      <c r="F248" s="13" t="s">
        <v>19</v>
      </c>
      <c r="G248" s="15">
        <v>1770</v>
      </c>
    </row>
    <row r="249" spans="1:7" ht="22.5" x14ac:dyDescent="0.25">
      <c r="A249" s="13">
        <v>12607</v>
      </c>
      <c r="B249" s="14">
        <v>43403.596388888887</v>
      </c>
      <c r="C249" s="13" t="s">
        <v>10</v>
      </c>
      <c r="D249" s="13" t="str">
        <f>"CONSULENZE SANITARIE DA PRIVATO"</f>
        <v>CONSULENZE SANITARIE DA PRIVATO</v>
      </c>
      <c r="E249" s="13" t="str">
        <f>"TORGANO GIULIA"</f>
        <v>TORGANO GIULIA</v>
      </c>
      <c r="F249" s="13" t="s">
        <v>19</v>
      </c>
      <c r="G249" s="15">
        <v>2082</v>
      </c>
    </row>
    <row r="250" spans="1:7" ht="22.5" x14ac:dyDescent="0.25">
      <c r="A250" s="13">
        <v>12608</v>
      </c>
      <c r="B250" s="14">
        <v>43403.596388888887</v>
      </c>
      <c r="C250" s="13" t="s">
        <v>10</v>
      </c>
      <c r="D250" s="13" t="str">
        <f>"CONSULENZE SANITARIE DA PRIVATO"</f>
        <v>CONSULENZE SANITARIE DA PRIVATO</v>
      </c>
      <c r="E250" s="13" t="str">
        <f>"BOISIO FRANCESCA"</f>
        <v>BOISIO FRANCESCA</v>
      </c>
      <c r="F250" s="13" t="s">
        <v>19</v>
      </c>
      <c r="G250" s="15">
        <v>352</v>
      </c>
    </row>
    <row r="251" spans="1:7" ht="22.5" x14ac:dyDescent="0.25">
      <c r="A251" s="13">
        <v>12609</v>
      </c>
      <c r="B251" s="14">
        <v>43403.596388888887</v>
      </c>
      <c r="C251" s="13" t="s">
        <v>10</v>
      </c>
      <c r="D251" s="13" t="str">
        <f>"COMPENSI DOCENTI ESTERNI"</f>
        <v>COMPENSI DOCENTI ESTERNI</v>
      </c>
      <c r="E251" s="13" t="str">
        <f>"FERRARI CHIARA"</f>
        <v>FERRARI CHIARA</v>
      </c>
      <c r="F251" s="13" t="str">
        <f>"notula pini"</f>
        <v>notula pini</v>
      </c>
      <c r="G251" s="15">
        <v>640</v>
      </c>
    </row>
    <row r="252" spans="1:7" ht="22.5" x14ac:dyDescent="0.25">
      <c r="A252" s="13">
        <v>12610</v>
      </c>
      <c r="B252" s="14">
        <v>43403.596388888887</v>
      </c>
      <c r="C252" s="13" t="s">
        <v>10</v>
      </c>
      <c r="D252" s="13" t="str">
        <f>"DEPOSITI CAUZIONALI ARMADIETTO/BADGE"</f>
        <v>DEPOSITI CAUZIONALI ARMADIETTO/BADGE</v>
      </c>
      <c r="E252" s="13" t="str">
        <f>"BOIDO ANNA"</f>
        <v>BOIDO ANNA</v>
      </c>
      <c r="F252" s="13" t="str">
        <f>"Restituzione deposito cauzionale"</f>
        <v>Restituzione deposito cauzionale</v>
      </c>
      <c r="G252" s="15">
        <v>50</v>
      </c>
    </row>
    <row r="253" spans="1:7" ht="22.5" x14ac:dyDescent="0.25">
      <c r="A253" s="13">
        <v>12611</v>
      </c>
      <c r="B253" s="14">
        <v>43403.596388888887</v>
      </c>
      <c r="C253" s="13" t="s">
        <v>10</v>
      </c>
      <c r="D253" s="13" t="str">
        <f>"DEPOSITI CAUZIONALI ARMADIETTO/BADGE"</f>
        <v>DEPOSITI CAUZIONALI ARMADIETTO/BADGE</v>
      </c>
      <c r="E253" s="13" t="str">
        <f>"SACCHI DANIELE"</f>
        <v>SACCHI DANIELE</v>
      </c>
      <c r="F253" s="13" t="str">
        <f>"Restituzione deposito cauzionale"</f>
        <v>Restituzione deposito cauzionale</v>
      </c>
      <c r="G253" s="15">
        <v>70</v>
      </c>
    </row>
    <row r="254" spans="1:7" ht="22.5" x14ac:dyDescent="0.25">
      <c r="A254" s="13">
        <v>12612</v>
      </c>
      <c r="B254" s="14">
        <v>43403.596388888887</v>
      </c>
      <c r="C254" s="13" t="s">
        <v>10</v>
      </c>
      <c r="D254" s="13" t="str">
        <f>"PRODOTTI ALIMENTARI"</f>
        <v>PRODOTTI ALIMENTARI</v>
      </c>
      <c r="E254" s="13" t="str">
        <f>"NUTRICIA ITALIA SPA"</f>
        <v>NUTRICIA ITALIA SPA</v>
      </c>
      <c r="F254" s="13" t="s">
        <v>16</v>
      </c>
      <c r="G254" s="15">
        <v>64.08</v>
      </c>
    </row>
    <row r="255" spans="1:7" ht="22.5" x14ac:dyDescent="0.25">
      <c r="A255" s="13">
        <v>12613</v>
      </c>
      <c r="B255" s="14">
        <v>43403.596388888887</v>
      </c>
      <c r="C255" s="13" t="s">
        <v>10</v>
      </c>
      <c r="D255" s="13" t="str">
        <f>"PRODOTTI ALIMENTARI"</f>
        <v>PRODOTTI ALIMENTARI</v>
      </c>
      <c r="E255" s="13" t="str">
        <f>"NUTRICIA ITALIA SPA"</f>
        <v>NUTRICIA ITALIA SPA</v>
      </c>
      <c r="F255" s="13" t="s">
        <v>16</v>
      </c>
      <c r="G255" s="15">
        <v>487.2</v>
      </c>
    </row>
    <row r="256" spans="1:7" ht="22.5" x14ac:dyDescent="0.25">
      <c r="A256" s="13">
        <v>12614</v>
      </c>
      <c r="B256" s="14">
        <v>43403.596388888887</v>
      </c>
      <c r="C256" s="13" t="s">
        <v>10</v>
      </c>
      <c r="D256" s="13" t="str">
        <f>"PRODOTTI ALIMENTARI"</f>
        <v>PRODOTTI ALIMENTARI</v>
      </c>
      <c r="E256" s="13" t="str">
        <f>"RICCI SRL - Forniture Alimentari"</f>
        <v>RICCI SRL - Forniture Alimentari</v>
      </c>
      <c r="F256" s="13" t="s">
        <v>16</v>
      </c>
      <c r="G256" s="15">
        <v>201.18</v>
      </c>
    </row>
    <row r="257" spans="1:7" ht="22.5" x14ac:dyDescent="0.25">
      <c r="A257" s="13">
        <v>12615</v>
      </c>
      <c r="B257" s="14">
        <v>43403.596388888887</v>
      </c>
      <c r="C257" s="13" t="s">
        <v>10</v>
      </c>
      <c r="D257" s="13" t="str">
        <f>"SERVIZIO CUCINA E MENSA (ATTIVITÀ COMMERCIALE)"</f>
        <v>SERVIZIO CUCINA E MENSA (ATTIVITÀ COMMERCIALE)</v>
      </c>
      <c r="E257" s="13" t="str">
        <f>"SARCA CATERING SRL a Socio Unico"</f>
        <v>SARCA CATERING SRL a Socio Unico</v>
      </c>
      <c r="F257" s="13" t="s">
        <v>17</v>
      </c>
      <c r="G257" s="15">
        <v>12833.19</v>
      </c>
    </row>
    <row r="258" spans="1:7" ht="22.5" x14ac:dyDescent="0.25">
      <c r="A258" s="13">
        <v>12616</v>
      </c>
      <c r="B258" s="14">
        <v>43403.596388888887</v>
      </c>
      <c r="C258" s="13" t="s">
        <v>11</v>
      </c>
      <c r="D258" s="13" t="str">
        <f>"SOPRAVVENIENZE PASSIVE PERSONALE ALTRI RUOLI"</f>
        <v>SOPRAVVENIENZE PASSIVE PERSONALE ALTRI RUOLI</v>
      </c>
      <c r="E258" s="13" t="str">
        <f>"TEMPORARY SPA con Socio Unico"</f>
        <v>TEMPORARY SPA con Socio Unico</v>
      </c>
      <c r="F258" s="13" t="s">
        <v>21</v>
      </c>
      <c r="G258" s="15">
        <v>113.61</v>
      </c>
    </row>
    <row r="259" spans="1:7" ht="22.5" x14ac:dyDescent="0.25">
      <c r="A259" s="13">
        <v>12617</v>
      </c>
      <c r="B259" s="14">
        <v>43403.606770833336</v>
      </c>
      <c r="C259" s="13" t="s">
        <v>10</v>
      </c>
      <c r="D259" s="13" t="str">
        <f>"COMPENSI DOCENTI ESTERNI"</f>
        <v>COMPENSI DOCENTI ESTERNI</v>
      </c>
      <c r="E259" s="13" t="str">
        <f>"GORETTI GIULIA"</f>
        <v>GORETTI GIULIA</v>
      </c>
      <c r="F259" s="13" t="s">
        <v>23</v>
      </c>
      <c r="G259" s="15">
        <v>640</v>
      </c>
    </row>
    <row r="260" spans="1:7" ht="22.5" x14ac:dyDescent="0.25">
      <c r="A260" s="13">
        <v>12618</v>
      </c>
      <c r="B260" s="14">
        <v>43403.74895833333</v>
      </c>
      <c r="C260" s="13" t="s">
        <v>10</v>
      </c>
      <c r="D260" s="13" t="str">
        <f>"FARMACI FILE F"</f>
        <v>FARMACI FILE F</v>
      </c>
      <c r="E260" s="13" t="str">
        <f>"ROCHE SPA Societa Unipersonale"</f>
        <v>ROCHE SPA Societa Unipersonale</v>
      </c>
      <c r="F260" s="13" t="s">
        <v>14</v>
      </c>
      <c r="G260" s="15">
        <v>39170.589999999997</v>
      </c>
    </row>
    <row r="261" spans="1:7" ht="22.5" x14ac:dyDescent="0.25">
      <c r="A261" s="13">
        <v>12619</v>
      </c>
      <c r="B261" s="14">
        <v>43403.74895833333</v>
      </c>
      <c r="C261" s="13" t="s">
        <v>10</v>
      </c>
      <c r="D261" s="13" t="str">
        <f>"PRODOTTI FARMACEUTICI CON AIC"</f>
        <v>PRODOTTI FARMACEUTICI CON AIC</v>
      </c>
      <c r="E261" s="13" t="str">
        <f>"ROCHE SPA Societa Unipersonale"</f>
        <v>ROCHE SPA Societa Unipersonale</v>
      </c>
      <c r="F261" s="13" t="s">
        <v>14</v>
      </c>
      <c r="G261" s="15">
        <v>38494.54</v>
      </c>
    </row>
    <row r="262" spans="1:7" ht="22.5" x14ac:dyDescent="0.25">
      <c r="A262" s="13">
        <v>12620</v>
      </c>
      <c r="B262" s="14">
        <v>43403.749097222222</v>
      </c>
      <c r="C262" s="13" t="s">
        <v>10</v>
      </c>
      <c r="D262" s="13" t="str">
        <f>"CANCELLERIA E SUPPORTI MECCANOGRAFICI"</f>
        <v>CANCELLERIA E SUPPORTI MECCANOGRAFICI</v>
      </c>
      <c r="E262" s="13" t="str">
        <f>"RUBBETTINO SRL"</f>
        <v>RUBBETTINO SRL</v>
      </c>
      <c r="F262" s="13" t="s">
        <v>14</v>
      </c>
      <c r="G262" s="15">
        <v>6235</v>
      </c>
    </row>
    <row r="263" spans="1:7" ht="22.5" x14ac:dyDescent="0.25">
      <c r="A263" s="13">
        <v>12621</v>
      </c>
      <c r="B263" s="14">
        <v>43403.749097222222</v>
      </c>
      <c r="C263" s="13" t="s">
        <v>10</v>
      </c>
      <c r="D263" s="13" t="str">
        <f>"CANCELLERIA E SUPPORTI MECCANOGRAFICI"</f>
        <v>CANCELLERIA E SUPPORTI MECCANOGRAFICI</v>
      </c>
      <c r="E263" s="13" t="str">
        <f>"RUBBETTINO SRL"</f>
        <v>RUBBETTINO SRL</v>
      </c>
      <c r="F263" s="13" t="s">
        <v>14</v>
      </c>
      <c r="G263" s="15">
        <v>1865.76</v>
      </c>
    </row>
    <row r="264" spans="1:7" ht="22.5" x14ac:dyDescent="0.25">
      <c r="A264" s="13">
        <v>12622</v>
      </c>
      <c r="B264" s="14">
        <v>43403.749097222222</v>
      </c>
      <c r="C264" s="13" t="s">
        <v>10</v>
      </c>
      <c r="D264" s="13" t="str">
        <f>"CANCELLERIA E SUPPORTI MECCANOGRAFICI"</f>
        <v>CANCELLERIA E SUPPORTI MECCANOGRAFICI</v>
      </c>
      <c r="E264" s="13" t="str">
        <f>"RUBBETTINO SRL"</f>
        <v>RUBBETTINO SRL</v>
      </c>
      <c r="F264" s="13" t="s">
        <v>14</v>
      </c>
      <c r="G264" s="15">
        <v>47.22</v>
      </c>
    </row>
    <row r="265" spans="1:7" ht="22.5" x14ac:dyDescent="0.25">
      <c r="A265" s="13">
        <v>12623</v>
      </c>
      <c r="B265" s="14">
        <v>43403.749097222222</v>
      </c>
      <c r="C265" s="13" t="s">
        <v>10</v>
      </c>
      <c r="D265" s="13" t="str">
        <f>"CANCELLERIA E SUPPORTI MECCANOGRAFICI"</f>
        <v>CANCELLERIA E SUPPORTI MECCANOGRAFICI</v>
      </c>
      <c r="E265" s="13" t="str">
        <f>"RUBBETTINO SRL"</f>
        <v>RUBBETTINO SRL</v>
      </c>
      <c r="F265" s="13" t="s">
        <v>14</v>
      </c>
      <c r="G265" s="15">
        <v>649.22</v>
      </c>
    </row>
    <row r="266" spans="1:7" ht="22.5" x14ac:dyDescent="0.25">
      <c r="A266" s="13">
        <v>12624</v>
      </c>
      <c r="B266" s="14">
        <v>43403.749293981484</v>
      </c>
      <c r="C266" s="13" t="s">
        <v>10</v>
      </c>
      <c r="D266" s="13" t="str">
        <f>"CANONI NOLEGGIO APPARECCHIATURE SANITARIE"</f>
        <v>CANONI NOLEGGIO APPARECCHIATURE SANITARIE</v>
      </c>
      <c r="E266" s="13" t="str">
        <f>"SICO Societa Italiana Carburo Ossigeno SPA"</f>
        <v>SICO Societa Italiana Carburo Ossigeno SPA</v>
      </c>
      <c r="F266" s="13" t="s">
        <v>14</v>
      </c>
      <c r="G266" s="15">
        <v>10</v>
      </c>
    </row>
    <row r="267" spans="1:7" ht="22.5" x14ac:dyDescent="0.25">
      <c r="A267" s="13">
        <v>12625</v>
      </c>
      <c r="B267" s="14">
        <v>43403.749293981484</v>
      </c>
      <c r="C267" s="13" t="s">
        <v>10</v>
      </c>
      <c r="D267" s="13" t="str">
        <f>"PRODOTTI CHIMICI: MATERIALI DIAGNOSTICI (SENZA CND)"</f>
        <v>PRODOTTI CHIMICI: MATERIALI DIAGNOSTICI (SENZA CND)</v>
      </c>
      <c r="E267" s="13" t="str">
        <f>"SICO Societa Italiana Carburo Ossigeno SPA"</f>
        <v>SICO Societa Italiana Carburo Ossigeno SPA</v>
      </c>
      <c r="F267" s="13" t="s">
        <v>14</v>
      </c>
      <c r="G267" s="15">
        <v>60</v>
      </c>
    </row>
    <row r="268" spans="1:7" ht="22.5" x14ac:dyDescent="0.25">
      <c r="A268" s="13">
        <v>12626</v>
      </c>
      <c r="B268" s="14">
        <v>43404.37709490741</v>
      </c>
      <c r="C268" s="13" t="s">
        <v>10</v>
      </c>
      <c r="D268" s="13" t="str">
        <f>"ACQUA GAS RAI TV"</f>
        <v>ACQUA GAS RAI TV</v>
      </c>
      <c r="E268" s="13" t="str">
        <f>"SOENERGY SRL"</f>
        <v>SOENERGY SRL</v>
      </c>
      <c r="F268" s="13" t="s">
        <v>19</v>
      </c>
      <c r="G268" s="15">
        <v>2.0699999999999998</v>
      </c>
    </row>
    <row r="269" spans="1:7" ht="22.5" x14ac:dyDescent="0.25">
      <c r="A269" s="13">
        <v>12627</v>
      </c>
      <c r="B269" s="14">
        <v>43404.37709490741</v>
      </c>
      <c r="C269" s="13" t="s">
        <v>10</v>
      </c>
      <c r="D269" s="13" t="str">
        <f>"PRODOTTI ALIMENTARI"</f>
        <v>PRODOTTI ALIMENTARI</v>
      </c>
      <c r="E269" s="13" t="str">
        <f>"DAC SPA "</f>
        <v xml:space="preserve">DAC SPA </v>
      </c>
      <c r="F269" s="13" t="s">
        <v>16</v>
      </c>
      <c r="G269" s="15">
        <v>150.37</v>
      </c>
    </row>
    <row r="270" spans="1:7" ht="22.5" x14ac:dyDescent="0.25">
      <c r="A270" s="13">
        <v>12628</v>
      </c>
      <c r="B270" s="14">
        <v>43404.37709490741</v>
      </c>
      <c r="C270" s="13" t="s">
        <v>10</v>
      </c>
      <c r="D270" s="13" t="str">
        <f>"PRODOTTI ALIMENTARI"</f>
        <v>PRODOTTI ALIMENTARI</v>
      </c>
      <c r="E270" s="13" t="str">
        <f>"DAC SPA "</f>
        <v xml:space="preserve">DAC SPA </v>
      </c>
      <c r="F270" s="13" t="s">
        <v>16</v>
      </c>
      <c r="G270" s="15">
        <v>30.38</v>
      </c>
    </row>
    <row r="271" spans="1:7" ht="22.5" x14ac:dyDescent="0.25">
      <c r="A271" s="13">
        <v>12629</v>
      </c>
      <c r="B271" s="14">
        <v>43404.37709490741</v>
      </c>
      <c r="C271" s="13" t="s">
        <v>10</v>
      </c>
      <c r="D271" s="13" t="str">
        <f>"SOPRAVVENIENZE PASSIVE"</f>
        <v>SOPRAVVENIENZE PASSIVE</v>
      </c>
      <c r="E271" s="13" t="str">
        <f>"BECKMAN COULTER SRL"</f>
        <v>BECKMAN COULTER SRL</v>
      </c>
      <c r="F271" s="13" t="str">
        <f>"ACQ.SERV.NON SANITARI"</f>
        <v>ACQ.SERV.NON SANITARI</v>
      </c>
      <c r="G271" s="15">
        <v>1666.66</v>
      </c>
    </row>
    <row r="272" spans="1:7" ht="22.5" x14ac:dyDescent="0.25">
      <c r="A272" s="13">
        <v>12630</v>
      </c>
      <c r="B272" s="14">
        <v>43404.37709490741</v>
      </c>
      <c r="C272" s="13" t="s">
        <v>10</v>
      </c>
      <c r="D272" s="13" t="str">
        <f>"SOPRAVVENIENZE PASSIVE"</f>
        <v>SOPRAVVENIENZE PASSIVE</v>
      </c>
      <c r="E272" s="13" t="str">
        <f>"BECKMAN COULTER SRL"</f>
        <v>BECKMAN COULTER SRL</v>
      </c>
      <c r="F272" s="13" t="str">
        <f>"ACQ.SERV.NON SANITARI"</f>
        <v>ACQ.SERV.NON SANITARI</v>
      </c>
      <c r="G272" s="15">
        <v>1666.66</v>
      </c>
    </row>
    <row r="273" spans="1:7" ht="22.5" x14ac:dyDescent="0.25">
      <c r="A273" s="13">
        <v>12631</v>
      </c>
      <c r="B273" s="14">
        <v>43404.522858796299</v>
      </c>
      <c r="C273" s="13" t="s">
        <v>10</v>
      </c>
      <c r="D273" s="13" t="str">
        <f>"DEPOSITI CAUZIONALI ARMADIETTO/BADGE"</f>
        <v>DEPOSITI CAUZIONALI ARMADIETTO/BADGE</v>
      </c>
      <c r="E273" s="13" t="str">
        <f>"BOERCI LINDA"</f>
        <v>BOERCI LINDA</v>
      </c>
      <c r="F273" s="13" t="str">
        <f>"Restituzione deposito cauzionale"</f>
        <v>Restituzione deposito cauzionale</v>
      </c>
      <c r="G273" s="15">
        <v>90</v>
      </c>
    </row>
    <row r="274" spans="1:7" ht="22.5" x14ac:dyDescent="0.25">
      <c r="A274" s="13">
        <v>12632</v>
      </c>
      <c r="B274" s="14">
        <v>43404.524733796294</v>
      </c>
      <c r="C274" s="13" t="s">
        <v>10</v>
      </c>
      <c r="D274" s="13" t="str">
        <f>"PRODOTTI ALIMENTARI"</f>
        <v>PRODOTTI ALIMENTARI</v>
      </c>
      <c r="E274" s="13" t="str">
        <f>"NUTRICIA ITALIA SPA"</f>
        <v>NUTRICIA ITALIA SPA</v>
      </c>
      <c r="F274" s="13" t="s">
        <v>16</v>
      </c>
      <c r="G274" s="15">
        <v>45.12</v>
      </c>
    </row>
    <row r="275" spans="1:7" ht="22.5" x14ac:dyDescent="0.25">
      <c r="A275" s="13">
        <v>12633</v>
      </c>
      <c r="B275" s="14">
        <v>43404.524826388886</v>
      </c>
      <c r="C275" s="13" t="s">
        <v>10</v>
      </c>
      <c r="D275" s="13" t="str">
        <f>"PRESTAZIONI LEGALI E NOTARILI"</f>
        <v>PRESTAZIONI LEGALI E NOTARILI</v>
      </c>
      <c r="E275" s="13" t="str">
        <f>"FRANCO PAOLO"</f>
        <v>FRANCO PAOLO</v>
      </c>
      <c r="F275" s="13" t="s">
        <v>15</v>
      </c>
      <c r="G275" s="15">
        <v>3687.36</v>
      </c>
    </row>
    <row r="276" spans="1:7" ht="22.5" x14ac:dyDescent="0.25">
      <c r="A276" s="13">
        <v>12634</v>
      </c>
      <c r="B276" s="14">
        <v>43406.56795138889</v>
      </c>
      <c r="C276" s="13" t="s">
        <v>10</v>
      </c>
      <c r="D276" s="13" t="str">
        <f>"CONSULENZE SANITARIE ASST/ATS REGIONE"</f>
        <v>CONSULENZE SANITARIE ASST/ATS REGIONE</v>
      </c>
      <c r="E276" s="13" t="str">
        <f>"ASST DI MONZA"</f>
        <v>ASST DI MONZA</v>
      </c>
      <c r="F276" s="13" t="s">
        <v>24</v>
      </c>
      <c r="G276" s="15">
        <v>422</v>
      </c>
    </row>
    <row r="277" spans="1:7" ht="22.5" x14ac:dyDescent="0.25">
      <c r="A277" s="13">
        <v>12635</v>
      </c>
      <c r="B277" s="14">
        <v>43406.568032407406</v>
      </c>
      <c r="C277" s="13" t="s">
        <v>10</v>
      </c>
      <c r="D277" s="13" t="str">
        <f t="shared" ref="D277:D291" si="16">"PRESTAZIONI SANITARIE DA ASST/ATS REGIONE"</f>
        <v>PRESTAZIONI SANITARIE DA ASST/ATS REGIONE</v>
      </c>
      <c r="E277" s="13" t="str">
        <f>"ASST GRANDE OSPEDALE METROPOLITANO NIGUARDA"</f>
        <v>ASST GRANDE OSPEDALE METROPOLITANO NIGUARDA</v>
      </c>
      <c r="F277" s="13" t="s">
        <v>24</v>
      </c>
      <c r="G277" s="15">
        <v>186.74</v>
      </c>
    </row>
    <row r="278" spans="1:7" ht="22.5" x14ac:dyDescent="0.25">
      <c r="A278" s="13">
        <v>12636</v>
      </c>
      <c r="B278" s="14">
        <v>43406.568032407406</v>
      </c>
      <c r="C278" s="13" t="s">
        <v>10</v>
      </c>
      <c r="D278" s="13" t="str">
        <f t="shared" si="16"/>
        <v>PRESTAZIONI SANITARIE DA ASST/ATS REGIONE</v>
      </c>
      <c r="E278" s="13" t="str">
        <f>"ASST GRANDE OSPEDALE METROPOLITANO NIGUARDA"</f>
        <v>ASST GRANDE OSPEDALE METROPOLITANO NIGUARDA</v>
      </c>
      <c r="F278" s="13" t="s">
        <v>24</v>
      </c>
      <c r="G278" s="15">
        <v>315.85000000000002</v>
      </c>
    </row>
    <row r="279" spans="1:7" ht="22.5" x14ac:dyDescent="0.25">
      <c r="A279" s="13">
        <v>12637</v>
      </c>
      <c r="B279" s="14">
        <v>43406.568032407406</v>
      </c>
      <c r="C279" s="13" t="s">
        <v>10</v>
      </c>
      <c r="D279" s="13" t="str">
        <f t="shared" si="16"/>
        <v>PRESTAZIONI SANITARIE DA ASST/ATS REGIONE</v>
      </c>
      <c r="E279" s="13" t="str">
        <f>"ASST GRANDE OSPEDALE METROPOLITANO NIGUARDA"</f>
        <v>ASST GRANDE OSPEDALE METROPOLITANO NIGUARDA</v>
      </c>
      <c r="F279" s="13" t="s">
        <v>24</v>
      </c>
      <c r="G279" s="15">
        <v>139.15</v>
      </c>
    </row>
    <row r="280" spans="1:7" ht="22.5" x14ac:dyDescent="0.25">
      <c r="A280" s="13">
        <v>12638</v>
      </c>
      <c r="B280" s="14">
        <v>43406.568078703705</v>
      </c>
      <c r="C280" s="13" t="s">
        <v>10</v>
      </c>
      <c r="D280" s="13" t="str">
        <f t="shared" si="16"/>
        <v>PRESTAZIONI SANITARIE DA ASST/ATS REGIONE</v>
      </c>
      <c r="E280" s="13" t="str">
        <f t="shared" ref="E280:E297" si="17">"FONDAZIONE IRCCS  CA'  GRANDA - OSPEDALE MAGGIORE - POLICLINICO"</f>
        <v>FONDAZIONE IRCCS  CA'  GRANDA - OSPEDALE MAGGIORE - POLICLINICO</v>
      </c>
      <c r="F280" s="13" t="s">
        <v>24</v>
      </c>
      <c r="G280" s="15">
        <v>12652</v>
      </c>
    </row>
    <row r="281" spans="1:7" ht="22.5" x14ac:dyDescent="0.25">
      <c r="A281" s="13">
        <v>12639</v>
      </c>
      <c r="B281" s="14">
        <v>43406.568078703705</v>
      </c>
      <c r="C281" s="13" t="s">
        <v>10</v>
      </c>
      <c r="D281" s="13" t="str">
        <f t="shared" si="16"/>
        <v>PRESTAZIONI SANITARIE DA ASST/ATS REGIONE</v>
      </c>
      <c r="E281" s="13" t="str">
        <f t="shared" si="17"/>
        <v>FONDAZIONE IRCCS  CA'  GRANDA - OSPEDALE MAGGIORE - POLICLINICO</v>
      </c>
      <c r="F281" s="13" t="s">
        <v>24</v>
      </c>
      <c r="G281" s="15">
        <v>13629.5</v>
      </c>
    </row>
    <row r="282" spans="1:7" ht="22.5" x14ac:dyDescent="0.25">
      <c r="A282" s="13">
        <v>12640</v>
      </c>
      <c r="B282" s="14">
        <v>43406.568078703705</v>
      </c>
      <c r="C282" s="13" t="s">
        <v>10</v>
      </c>
      <c r="D282" s="13" t="str">
        <f t="shared" si="16"/>
        <v>PRESTAZIONI SANITARIE DA ASST/ATS REGIONE</v>
      </c>
      <c r="E282" s="13" t="str">
        <f t="shared" si="17"/>
        <v>FONDAZIONE IRCCS  CA'  GRANDA - OSPEDALE MAGGIORE - POLICLINICO</v>
      </c>
      <c r="F282" s="13" t="s">
        <v>24</v>
      </c>
      <c r="G282" s="15">
        <v>10237</v>
      </c>
    </row>
    <row r="283" spans="1:7" ht="22.5" x14ac:dyDescent="0.25">
      <c r="A283" s="13">
        <v>12641</v>
      </c>
      <c r="B283" s="14">
        <v>43406.568078703705</v>
      </c>
      <c r="C283" s="13" t="s">
        <v>10</v>
      </c>
      <c r="D283" s="13" t="str">
        <f t="shared" si="16"/>
        <v>PRESTAZIONI SANITARIE DA ASST/ATS REGIONE</v>
      </c>
      <c r="E283" s="13" t="str">
        <f t="shared" si="17"/>
        <v>FONDAZIONE IRCCS  CA'  GRANDA - OSPEDALE MAGGIORE - POLICLINICO</v>
      </c>
      <c r="F283" s="13" t="s">
        <v>24</v>
      </c>
      <c r="G283" s="15">
        <v>6499.5</v>
      </c>
    </row>
    <row r="284" spans="1:7" ht="22.5" x14ac:dyDescent="0.25">
      <c r="A284" s="13">
        <v>12642</v>
      </c>
      <c r="B284" s="14">
        <v>43406.568078703705</v>
      </c>
      <c r="C284" s="13" t="s">
        <v>10</v>
      </c>
      <c r="D284" s="13" t="str">
        <f t="shared" si="16"/>
        <v>PRESTAZIONI SANITARIE DA ASST/ATS REGIONE</v>
      </c>
      <c r="E284" s="13" t="str">
        <f t="shared" si="17"/>
        <v>FONDAZIONE IRCCS  CA'  GRANDA - OSPEDALE MAGGIORE - POLICLINICO</v>
      </c>
      <c r="F284" s="13" t="s">
        <v>24</v>
      </c>
      <c r="G284" s="15">
        <v>8224.5</v>
      </c>
    </row>
    <row r="285" spans="1:7" ht="22.5" x14ac:dyDescent="0.25">
      <c r="A285" s="13">
        <v>12643</v>
      </c>
      <c r="B285" s="14">
        <v>43406.568078703705</v>
      </c>
      <c r="C285" s="13" t="s">
        <v>10</v>
      </c>
      <c r="D285" s="13" t="str">
        <f t="shared" si="16"/>
        <v>PRESTAZIONI SANITARIE DA ASST/ATS REGIONE</v>
      </c>
      <c r="E285" s="13" t="str">
        <f t="shared" si="17"/>
        <v>FONDAZIONE IRCCS  CA'  GRANDA - OSPEDALE MAGGIORE - POLICLINICO</v>
      </c>
      <c r="F285" s="13" t="s">
        <v>24</v>
      </c>
      <c r="G285" s="15">
        <v>10754.5</v>
      </c>
    </row>
    <row r="286" spans="1:7" ht="22.5" x14ac:dyDescent="0.25">
      <c r="A286" s="13">
        <v>12644</v>
      </c>
      <c r="B286" s="14">
        <v>43406.568078703705</v>
      </c>
      <c r="C286" s="13" t="s">
        <v>10</v>
      </c>
      <c r="D286" s="13" t="str">
        <f t="shared" si="16"/>
        <v>PRESTAZIONI SANITARIE DA ASST/ATS REGIONE</v>
      </c>
      <c r="E286" s="13" t="str">
        <f t="shared" si="17"/>
        <v>FONDAZIONE IRCCS  CA'  GRANDA - OSPEDALE MAGGIORE - POLICLINICO</v>
      </c>
      <c r="F286" s="13" t="s">
        <v>24</v>
      </c>
      <c r="G286" s="15">
        <v>8799.5</v>
      </c>
    </row>
    <row r="287" spans="1:7" ht="22.5" x14ac:dyDescent="0.25">
      <c r="A287" s="13">
        <v>12645</v>
      </c>
      <c r="B287" s="14">
        <v>43406.568078703705</v>
      </c>
      <c r="C287" s="13" t="s">
        <v>10</v>
      </c>
      <c r="D287" s="13" t="str">
        <f t="shared" si="16"/>
        <v>PRESTAZIONI SANITARIE DA ASST/ATS REGIONE</v>
      </c>
      <c r="E287" s="13" t="str">
        <f t="shared" si="17"/>
        <v>FONDAZIONE IRCCS  CA'  GRANDA - OSPEDALE MAGGIORE - POLICLINICO</v>
      </c>
      <c r="F287" s="13" t="s">
        <v>24</v>
      </c>
      <c r="G287" s="15">
        <v>11214.5</v>
      </c>
    </row>
    <row r="288" spans="1:7" ht="22.5" x14ac:dyDescent="0.25">
      <c r="A288" s="13">
        <v>12646</v>
      </c>
      <c r="B288" s="14">
        <v>43406.568078703705</v>
      </c>
      <c r="C288" s="13" t="s">
        <v>10</v>
      </c>
      <c r="D288" s="13" t="str">
        <f t="shared" si="16"/>
        <v>PRESTAZIONI SANITARIE DA ASST/ATS REGIONE</v>
      </c>
      <c r="E288" s="13" t="str">
        <f t="shared" si="17"/>
        <v>FONDAZIONE IRCCS  CA'  GRANDA - OSPEDALE MAGGIORE - POLICLINICO</v>
      </c>
      <c r="F288" s="13" t="s">
        <v>24</v>
      </c>
      <c r="G288" s="15">
        <v>5522</v>
      </c>
    </row>
    <row r="289" spans="1:7" ht="22.5" x14ac:dyDescent="0.25">
      <c r="A289" s="13">
        <v>12647</v>
      </c>
      <c r="B289" s="14">
        <v>43406.568078703705</v>
      </c>
      <c r="C289" s="13" t="s">
        <v>10</v>
      </c>
      <c r="D289" s="13" t="str">
        <f t="shared" si="16"/>
        <v>PRESTAZIONI SANITARIE DA ASST/ATS REGIONE</v>
      </c>
      <c r="E289" s="13" t="str">
        <f t="shared" si="17"/>
        <v>FONDAZIONE IRCCS  CA'  GRANDA - OSPEDALE MAGGIORE - POLICLINICO</v>
      </c>
      <c r="F289" s="13" t="s">
        <v>24</v>
      </c>
      <c r="G289" s="15">
        <v>7534.5</v>
      </c>
    </row>
    <row r="290" spans="1:7" ht="22.5" x14ac:dyDescent="0.25">
      <c r="A290" s="13">
        <v>12648</v>
      </c>
      <c r="B290" s="14">
        <v>43406.568078703705</v>
      </c>
      <c r="C290" s="13" t="s">
        <v>10</v>
      </c>
      <c r="D290" s="13" t="str">
        <f t="shared" si="16"/>
        <v>PRESTAZIONI SANITARIE DA ASST/ATS REGIONE</v>
      </c>
      <c r="E290" s="13" t="str">
        <f t="shared" si="17"/>
        <v>FONDAZIONE IRCCS  CA'  GRANDA - OSPEDALE MAGGIORE - POLICLINICO</v>
      </c>
      <c r="F290" s="13" t="s">
        <v>24</v>
      </c>
      <c r="G290" s="15">
        <v>7189.5</v>
      </c>
    </row>
    <row r="291" spans="1:7" ht="22.5" x14ac:dyDescent="0.25">
      <c r="A291" s="13">
        <v>12649</v>
      </c>
      <c r="B291" s="14">
        <v>43406.568078703705</v>
      </c>
      <c r="C291" s="13" t="s">
        <v>10</v>
      </c>
      <c r="D291" s="13" t="str">
        <f t="shared" si="16"/>
        <v>PRESTAZIONI SANITARIE DA ASST/ATS REGIONE</v>
      </c>
      <c r="E291" s="13" t="str">
        <f t="shared" si="17"/>
        <v>FONDAZIONE IRCCS  CA'  GRANDA - OSPEDALE MAGGIORE - POLICLINICO</v>
      </c>
      <c r="F291" s="13" t="s">
        <v>24</v>
      </c>
      <c r="G291" s="15">
        <v>6787</v>
      </c>
    </row>
    <row r="292" spans="1:7" ht="22.5" x14ac:dyDescent="0.25">
      <c r="A292" s="13">
        <v>12650</v>
      </c>
      <c r="B292" s="14">
        <v>43406.568078703705</v>
      </c>
      <c r="C292" s="13" t="s">
        <v>10</v>
      </c>
      <c r="D292" s="13" t="str">
        <f>"Fatture da Ricevere Generico"</f>
        <v>Fatture da Ricevere Generico</v>
      </c>
      <c r="E292" s="13" t="str">
        <f t="shared" si="17"/>
        <v>FONDAZIONE IRCCS  CA'  GRANDA - OSPEDALE MAGGIORE - POLICLINICO</v>
      </c>
      <c r="F292" s="13" t="s">
        <v>25</v>
      </c>
      <c r="G292" s="15">
        <v>5924.5</v>
      </c>
    </row>
    <row r="293" spans="1:7" ht="22.5" x14ac:dyDescent="0.25">
      <c r="A293" s="13">
        <v>12651</v>
      </c>
      <c r="B293" s="14">
        <v>43406.568078703705</v>
      </c>
      <c r="C293" s="13" t="s">
        <v>10</v>
      </c>
      <c r="D293" s="13" t="str">
        <f>"Fatture da Ricevere Generico"</f>
        <v>Fatture da Ricevere Generico</v>
      </c>
      <c r="E293" s="13" t="str">
        <f t="shared" si="17"/>
        <v>FONDAZIONE IRCCS  CA'  GRANDA - OSPEDALE MAGGIORE - POLICLINICO</v>
      </c>
      <c r="F293" s="13" t="s">
        <v>25</v>
      </c>
      <c r="G293" s="15">
        <v>91.7</v>
      </c>
    </row>
    <row r="294" spans="1:7" ht="22.5" x14ac:dyDescent="0.25">
      <c r="A294" s="13">
        <v>12652</v>
      </c>
      <c r="B294" s="14">
        <v>43406.568078703705</v>
      </c>
      <c r="C294" s="13" t="s">
        <v>10</v>
      </c>
      <c r="D294" s="13" t="str">
        <f>"Fatture da Ricevere Generico"</f>
        <v>Fatture da Ricevere Generico</v>
      </c>
      <c r="E294" s="13" t="str">
        <f t="shared" si="17"/>
        <v>FONDAZIONE IRCCS  CA'  GRANDA - OSPEDALE MAGGIORE - POLICLINICO</v>
      </c>
      <c r="F294" s="13" t="s">
        <v>25</v>
      </c>
      <c r="G294" s="15">
        <v>9489.5</v>
      </c>
    </row>
    <row r="295" spans="1:7" ht="22.5" x14ac:dyDescent="0.25">
      <c r="A295" s="13">
        <v>12653</v>
      </c>
      <c r="B295" s="14">
        <v>43406.568078703705</v>
      </c>
      <c r="C295" s="13" t="s">
        <v>10</v>
      </c>
      <c r="D295" s="13" t="str">
        <f>"SOPRAVVENIENZE PASSIVE V/ASL-AO-IRCCS-POLICLINICI"</f>
        <v>SOPRAVVENIENZE PASSIVE V/ASL-AO-IRCCS-POLICLINICI</v>
      </c>
      <c r="E295" s="13" t="str">
        <f t="shared" si="17"/>
        <v>FONDAZIONE IRCCS  CA'  GRANDA - OSPEDALE MAGGIORE - POLICLINICO</v>
      </c>
      <c r="F295" s="13" t="str">
        <f>"ACQ.SERVIZI SANITARI"</f>
        <v>ACQ.SERVIZI SANITARI</v>
      </c>
      <c r="G295" s="15">
        <v>22.5</v>
      </c>
    </row>
    <row r="296" spans="1:7" ht="22.5" x14ac:dyDescent="0.25">
      <c r="A296" s="13">
        <v>12654</v>
      </c>
      <c r="B296" s="14">
        <v>43406.568078703705</v>
      </c>
      <c r="C296" s="13" t="s">
        <v>10</v>
      </c>
      <c r="D296" s="13" t="str">
        <f>"SOPRAVVENIENZE PASSIVE V/ASL-AO-IRCCS-POLICLINICI"</f>
        <v>SOPRAVVENIENZE PASSIVE V/ASL-AO-IRCCS-POLICLINICI</v>
      </c>
      <c r="E296" s="13" t="str">
        <f t="shared" si="17"/>
        <v>FONDAZIONE IRCCS  CA'  GRANDA - OSPEDALE MAGGIORE - POLICLINICO</v>
      </c>
      <c r="F296" s="13" t="str">
        <f>"ACQ.SERVIZI SANITARI"</f>
        <v>ACQ.SERVIZI SANITARI</v>
      </c>
      <c r="G296" s="15">
        <v>65.400000000000006</v>
      </c>
    </row>
    <row r="297" spans="1:7" ht="22.5" x14ac:dyDescent="0.25">
      <c r="A297" s="13">
        <v>12655</v>
      </c>
      <c r="B297" s="14">
        <v>43406.568078703705</v>
      </c>
      <c r="C297" s="13" t="s">
        <v>10</v>
      </c>
      <c r="D297" s="13" t="str">
        <f>"SOPRAVVENIENZE PASSIVE V/ASL-AO-IRCCS-POLICLINICI"</f>
        <v>SOPRAVVENIENZE PASSIVE V/ASL-AO-IRCCS-POLICLINICI</v>
      </c>
      <c r="E297" s="13" t="str">
        <f t="shared" si="17"/>
        <v>FONDAZIONE IRCCS  CA'  GRANDA - OSPEDALE MAGGIORE - POLICLINICO</v>
      </c>
      <c r="F297" s="13" t="str">
        <f>"ACQ.SERVIZI SANITARI"</f>
        <v>ACQ.SERVIZI SANITARI</v>
      </c>
      <c r="G297" s="15">
        <v>22.5</v>
      </c>
    </row>
    <row r="298" spans="1:7" ht="33.75" x14ac:dyDescent="0.25">
      <c r="A298" s="13">
        <v>12656</v>
      </c>
      <c r="B298" s="14">
        <v>43409.407847222225</v>
      </c>
      <c r="C298" s="13" t="s">
        <v>11</v>
      </c>
      <c r="D298" s="13" t="str">
        <f>"CONTRIBUTI OBBLIGATORI PER IL PERSONALE A TEMPO INDETERMINATO"</f>
        <v>CONTRIBUTI OBBLIGATORI PER IL PERSONALE A TEMPO INDETERMINATO</v>
      </c>
      <c r="E298" s="13" t="str">
        <f>"FONDO PENSIONE PERSEO"</f>
        <v>FONDO PENSIONE PERSEO</v>
      </c>
      <c r="F298" s="13" t="s">
        <v>18</v>
      </c>
      <c r="G298" s="15">
        <v>295.38</v>
      </c>
    </row>
    <row r="299" spans="1:7" ht="45" x14ac:dyDescent="0.25">
      <c r="A299" s="13">
        <v>12657</v>
      </c>
      <c r="B299" s="14">
        <v>43409.407847222225</v>
      </c>
      <c r="C299" s="13" t="s">
        <v>11</v>
      </c>
      <c r="D299" s="13" t="str">
        <f>"CONTRIBUTI PREVIDENZIALI E ASSISTENZIALI SUI COMPENSI AI MEDICI SPECIALISTI AMBULATORIALI"</f>
        <v>CONTRIBUTI PREVIDENZIALI E ASSISTENZIALI SUI COMPENSI AI MEDICI SPECIALISTI AMBULATORIALI</v>
      </c>
      <c r="E299" s="13" t="str">
        <f>"E.N.P.A.M."</f>
        <v>E.N.P.A.M.</v>
      </c>
      <c r="F299" s="13" t="s">
        <v>18</v>
      </c>
      <c r="G299" s="15">
        <v>556.47</v>
      </c>
    </row>
    <row r="300" spans="1:7" ht="33.75" x14ac:dyDescent="0.25">
      <c r="A300" s="13">
        <v>12658</v>
      </c>
      <c r="B300" s="14">
        <v>43409.407847222225</v>
      </c>
      <c r="C300" s="13" t="s">
        <v>11</v>
      </c>
      <c r="D300" s="13" t="str">
        <f>"RITENUTE PREVIDENZIALI E ASSISTENZIALI AL PERSONALE A TEMPO INDETERMINATO"</f>
        <v>RITENUTE PREVIDENZIALI E ASSISTENZIALI AL PERSONALE A TEMPO INDETERMINATO</v>
      </c>
      <c r="E300" s="13" t="str">
        <f>"FONDO PENSIONE PERSEO"</f>
        <v>FONDO PENSIONE PERSEO</v>
      </c>
      <c r="F300" s="13" t="s">
        <v>18</v>
      </c>
      <c r="G300" s="15">
        <v>370.02</v>
      </c>
    </row>
    <row r="301" spans="1:7" ht="22.5" x14ac:dyDescent="0.25">
      <c r="A301" s="13">
        <v>12659</v>
      </c>
      <c r="B301" s="14">
        <v>43409.463136574072</v>
      </c>
      <c r="C301" s="13" t="s">
        <v>10</v>
      </c>
      <c r="D301" s="13" t="str">
        <f>"FT RIC JOHNSON &amp; JOHNSON MEDICAL SPA"</f>
        <v>FT RIC JOHNSON &amp; JOHNSON MEDICAL SPA</v>
      </c>
      <c r="E301" s="13" t="str">
        <f>"JOHNSON &amp; JOHNSON MEDICAL SPA"</f>
        <v>JOHNSON &amp; JOHNSON MEDICAL SPA</v>
      </c>
      <c r="F301" s="13" t="s">
        <v>14</v>
      </c>
      <c r="G301" s="15">
        <v>745.01</v>
      </c>
    </row>
    <row r="302" spans="1:7" ht="22.5" x14ac:dyDescent="0.25">
      <c r="A302" s="13">
        <v>12660</v>
      </c>
      <c r="B302" s="14">
        <v>43409.463148148148</v>
      </c>
      <c r="C302" s="13" t="s">
        <v>13</v>
      </c>
      <c r="D302" s="13" t="str">
        <f>"ATTREZZATURE INFORMATICHE"</f>
        <v>ATTREZZATURE INFORMATICHE</v>
      </c>
      <c r="E302" s="13" t="str">
        <f>"LUTECH SPA Società Unipersonale"</f>
        <v>LUTECH SPA Società Unipersonale</v>
      </c>
      <c r="F302" s="13" t="s">
        <v>14</v>
      </c>
      <c r="G302" s="15">
        <v>22150</v>
      </c>
    </row>
    <row r="303" spans="1:7" ht="22.5" x14ac:dyDescent="0.25">
      <c r="A303" s="13">
        <v>12661</v>
      </c>
      <c r="B303" s="14">
        <v>43409.463148148148</v>
      </c>
      <c r="C303" s="13" t="s">
        <v>10</v>
      </c>
      <c r="D303" s="13" t="str">
        <f>"ENERGIA ELETTRICA"</f>
        <v>ENERGIA ELETTRICA</v>
      </c>
      <c r="E303" s="13" t="str">
        <f>"ZEPHYRO SPA"</f>
        <v>ZEPHYRO SPA</v>
      </c>
      <c r="F303" s="13" t="s">
        <v>26</v>
      </c>
      <c r="G303" s="15">
        <v>129000</v>
      </c>
    </row>
    <row r="304" spans="1:7" ht="22.5" x14ac:dyDescent="0.25">
      <c r="A304" s="13">
        <v>12662</v>
      </c>
      <c r="B304" s="14">
        <v>43409.463148148148</v>
      </c>
      <c r="C304" s="13" t="s">
        <v>10</v>
      </c>
      <c r="D304" s="13" t="str">
        <f>"FT RIC JOHNSON &amp; JOHNSON MEDICAL SPA"</f>
        <v>FT RIC JOHNSON &amp; JOHNSON MEDICAL SPA</v>
      </c>
      <c r="E304" s="13" t="str">
        <f>"JOHNSON &amp; JOHNSON MEDICAL SPA"</f>
        <v>JOHNSON &amp; JOHNSON MEDICAL SPA</v>
      </c>
      <c r="F304" s="13" t="s">
        <v>14</v>
      </c>
      <c r="G304" s="15">
        <v>745.01</v>
      </c>
    </row>
    <row r="305" spans="1:7" ht="22.5" x14ac:dyDescent="0.25">
      <c r="A305" s="13">
        <v>12663</v>
      </c>
      <c r="B305" s="14">
        <v>43409.463148148148</v>
      </c>
      <c r="C305" s="13" t="s">
        <v>10</v>
      </c>
      <c r="D305" s="13" t="str">
        <f>"FT RIC JOHNSON &amp; JOHNSON MEDICAL SPA"</f>
        <v>FT RIC JOHNSON &amp; JOHNSON MEDICAL SPA</v>
      </c>
      <c r="E305" s="13" t="str">
        <f>"JOHNSON &amp; JOHNSON MEDICAL SPA"</f>
        <v>JOHNSON &amp; JOHNSON MEDICAL SPA</v>
      </c>
      <c r="F305" s="13" t="s">
        <v>14</v>
      </c>
      <c r="G305" s="15">
        <v>745.01</v>
      </c>
    </row>
    <row r="306" spans="1:7" ht="22.5" x14ac:dyDescent="0.25">
      <c r="A306" s="13">
        <v>12664</v>
      </c>
      <c r="B306" s="14">
        <v>43409.463148148148</v>
      </c>
      <c r="C306" s="13" t="s">
        <v>13</v>
      </c>
      <c r="D306" s="13" t="str">
        <f>"IMPIANTI ELETTRICI ED IDRAULICI"</f>
        <v>IMPIANTI ELETTRICI ED IDRAULICI</v>
      </c>
      <c r="E306" s="13" t="str">
        <f>"A CIRCLE SPA"</f>
        <v>A CIRCLE SPA</v>
      </c>
      <c r="F306" s="13" t="s">
        <v>15</v>
      </c>
      <c r="G306" s="15">
        <v>7800</v>
      </c>
    </row>
    <row r="307" spans="1:7" ht="22.5" x14ac:dyDescent="0.25">
      <c r="A307" s="13">
        <v>12665</v>
      </c>
      <c r="B307" s="14">
        <v>43409.463148148148</v>
      </c>
      <c r="C307" s="13" t="s">
        <v>13</v>
      </c>
      <c r="D307" s="13" t="str">
        <f>"IMPIANTI ELETTRICI ED IDRAULICI"</f>
        <v>IMPIANTI ELETTRICI ED IDRAULICI</v>
      </c>
      <c r="E307" s="13" t="str">
        <f>"PADANA ASCENSORI SRL"</f>
        <v>PADANA ASCENSORI SRL</v>
      </c>
      <c r="F307" s="13" t="s">
        <v>15</v>
      </c>
      <c r="G307" s="15">
        <v>1095.48</v>
      </c>
    </row>
    <row r="308" spans="1:7" ht="22.5" x14ac:dyDescent="0.25">
      <c r="A308" s="13">
        <v>12666</v>
      </c>
      <c r="B308" s="14">
        <v>43409.463148148148</v>
      </c>
      <c r="C308" s="13" t="s">
        <v>13</v>
      </c>
      <c r="D308" s="13" t="str">
        <f>"IMPIANTI ELETTRICI ED IDRAULICI"</f>
        <v>IMPIANTI ELETTRICI ED IDRAULICI</v>
      </c>
      <c r="E308" s="13" t="str">
        <f>"PADANA ASCENSORI SRL"</f>
        <v>PADANA ASCENSORI SRL</v>
      </c>
      <c r="F308" s="13" t="s">
        <v>15</v>
      </c>
      <c r="G308" s="15">
        <v>4322.5</v>
      </c>
    </row>
    <row r="309" spans="1:7" ht="22.5" x14ac:dyDescent="0.25">
      <c r="A309" s="13">
        <v>12667</v>
      </c>
      <c r="B309" s="14">
        <v>43409.463148148148</v>
      </c>
      <c r="C309" s="13" t="s">
        <v>10</v>
      </c>
      <c r="D309" s="13" t="str">
        <f>"PRODOTTI ALIMENTARI"</f>
        <v>PRODOTTI ALIMENTARI</v>
      </c>
      <c r="E309" s="13" t="str">
        <f>"TURRA ELIO Ortofrutta"</f>
        <v>TURRA ELIO Ortofrutta</v>
      </c>
      <c r="F309" s="13" t="s">
        <v>16</v>
      </c>
      <c r="G309" s="15">
        <v>180</v>
      </c>
    </row>
    <row r="310" spans="1:7" ht="22.5" x14ac:dyDescent="0.25">
      <c r="A310" s="13">
        <v>12668</v>
      </c>
      <c r="B310" s="14">
        <v>43409.463148148148</v>
      </c>
      <c r="C310" s="13" t="s">
        <v>10</v>
      </c>
      <c r="D310" s="13" t="str">
        <f>"PRODOTTI ALIMENTARI"</f>
        <v>PRODOTTI ALIMENTARI</v>
      </c>
      <c r="E310" s="13" t="str">
        <f>"TURRA ELIO Ortofrutta"</f>
        <v>TURRA ELIO Ortofrutta</v>
      </c>
      <c r="F310" s="13" t="s">
        <v>16</v>
      </c>
      <c r="G310" s="15">
        <v>155</v>
      </c>
    </row>
    <row r="311" spans="1:7" ht="22.5" x14ac:dyDescent="0.25">
      <c r="A311" s="13">
        <v>12669</v>
      </c>
      <c r="B311" s="14">
        <v>43409.463148148148</v>
      </c>
      <c r="C311" s="13" t="s">
        <v>10</v>
      </c>
      <c r="D311" s="13" t="str">
        <f>"PRODOTTI ALIMENTARI"</f>
        <v>PRODOTTI ALIMENTARI</v>
      </c>
      <c r="E311" s="13" t="str">
        <f>"TURRA ELIO Ortofrutta"</f>
        <v>TURRA ELIO Ortofrutta</v>
      </c>
      <c r="F311" s="13" t="s">
        <v>16</v>
      </c>
      <c r="G311" s="15">
        <v>1029.8</v>
      </c>
    </row>
    <row r="312" spans="1:7" ht="22.5" x14ac:dyDescent="0.25">
      <c r="A312" s="13">
        <v>12670</v>
      </c>
      <c r="B312" s="14">
        <v>43409.494745370372</v>
      </c>
      <c r="C312" s="13" t="s">
        <v>10</v>
      </c>
      <c r="D312" s="13" t="str">
        <f>"CANONI NOLEGGIO APPARECCHIATURE SANITARIE"</f>
        <v>CANONI NOLEGGIO APPARECCHIATURE SANITARIE</v>
      </c>
      <c r="E312" s="13" t="str">
        <f>"AGILENT TECHNOLOGIES ITALIA SPA"</f>
        <v>AGILENT TECHNOLOGIES ITALIA SPA</v>
      </c>
      <c r="F312" s="13" t="s">
        <v>14</v>
      </c>
      <c r="G312" s="15">
        <v>1457.12</v>
      </c>
    </row>
    <row r="313" spans="1:7" ht="33.75" x14ac:dyDescent="0.25">
      <c r="A313" s="13">
        <v>12671</v>
      </c>
      <c r="B313" s="14">
        <v>43409.494745370372</v>
      </c>
      <c r="C313" s="13" t="s">
        <v>10</v>
      </c>
      <c r="D313" s="13" t="str">
        <f>"DISPOSITIVI DI SOMMINISTRAZIONE, PRELIEVO E RACCOLTA (CIN A)"</f>
        <v>DISPOSITIVI DI SOMMINISTRAZIONE, PRELIEVO E RACCOLTA (CIN A)</v>
      </c>
      <c r="E313" s="13" t="str">
        <f>"BECTHON DIVISIONE MEDICA SRL"</f>
        <v>BECTHON DIVISIONE MEDICA SRL</v>
      </c>
      <c r="F313" s="13" t="s">
        <v>14</v>
      </c>
      <c r="G313" s="15">
        <v>828</v>
      </c>
    </row>
    <row r="314" spans="1:7" ht="22.5" x14ac:dyDescent="0.25">
      <c r="A314" s="13">
        <v>12672</v>
      </c>
      <c r="B314" s="14">
        <v>43409.494745370372</v>
      </c>
      <c r="C314" s="13" t="s">
        <v>10</v>
      </c>
      <c r="D314" s="13" t="str">
        <f>"DISPOSITIVI PER APPARATO CARDIOCIRCOLATORIO (C)"</f>
        <v>DISPOSITIVI PER APPARATO CARDIOCIRCOLATORIO (C)</v>
      </c>
      <c r="E314" s="13" t="str">
        <f>"BECTON DICKINSON ITALIA SPA a Socio Unico"</f>
        <v>BECTON DICKINSON ITALIA SPA a Socio Unico</v>
      </c>
      <c r="F314" s="13" t="s">
        <v>14</v>
      </c>
      <c r="G314" s="15">
        <v>1049</v>
      </c>
    </row>
    <row r="315" spans="1:7" ht="22.5" x14ac:dyDescent="0.25">
      <c r="A315" s="13">
        <v>12673</v>
      </c>
      <c r="B315" s="14">
        <v>43409.494745370372</v>
      </c>
      <c r="C315" s="13" t="s">
        <v>10</v>
      </c>
      <c r="D315" s="13" t="str">
        <f t="shared" ref="D315:D320" si="18">"FARMACI FILE F"</f>
        <v>FARMACI FILE F</v>
      </c>
      <c r="E315" s="13" t="str">
        <f>"ABBVIE SRL a Socio Unico"</f>
        <v>ABBVIE SRL a Socio Unico</v>
      </c>
      <c r="F315" s="13" t="s">
        <v>14</v>
      </c>
      <c r="G315" s="15">
        <v>9886.3799999999992</v>
      </c>
    </row>
    <row r="316" spans="1:7" ht="22.5" x14ac:dyDescent="0.25">
      <c r="A316" s="13">
        <v>12674</v>
      </c>
      <c r="B316" s="14">
        <v>43409.494745370372</v>
      </c>
      <c r="C316" s="13" t="s">
        <v>10</v>
      </c>
      <c r="D316" s="13" t="str">
        <f t="shared" si="18"/>
        <v>FARMACI FILE F</v>
      </c>
      <c r="E316" s="13" t="str">
        <f>"ABBVIE SRL a Socio Unico"</f>
        <v>ABBVIE SRL a Socio Unico</v>
      </c>
      <c r="F316" s="13" t="s">
        <v>14</v>
      </c>
      <c r="G316" s="15">
        <v>49530.239999999998</v>
      </c>
    </row>
    <row r="317" spans="1:7" ht="22.5" x14ac:dyDescent="0.25">
      <c r="A317" s="13">
        <v>12675</v>
      </c>
      <c r="B317" s="14">
        <v>43409.494745370372</v>
      </c>
      <c r="C317" s="13" t="s">
        <v>10</v>
      </c>
      <c r="D317" s="13" t="str">
        <f t="shared" si="18"/>
        <v>FARMACI FILE F</v>
      </c>
      <c r="E317" s="13" t="str">
        <f>"ACCORD HEALTHCARE ITALIA SRL"</f>
        <v>ACCORD HEALTHCARE ITALIA SRL</v>
      </c>
      <c r="F317" s="13" t="s">
        <v>14</v>
      </c>
      <c r="G317" s="15">
        <v>477.6</v>
      </c>
    </row>
    <row r="318" spans="1:7" ht="22.5" x14ac:dyDescent="0.25">
      <c r="A318" s="13">
        <v>12676</v>
      </c>
      <c r="B318" s="14">
        <v>43409.494745370372</v>
      </c>
      <c r="C318" s="13" t="s">
        <v>10</v>
      </c>
      <c r="D318" s="13" t="str">
        <f t="shared" si="18"/>
        <v>FARMACI FILE F</v>
      </c>
      <c r="E318" s="13" t="str">
        <f>"NOVARTIS FARMA SPA con Socio Unico"</f>
        <v>NOVARTIS FARMA SPA con Socio Unico</v>
      </c>
      <c r="F318" s="13" t="s">
        <v>14</v>
      </c>
      <c r="G318" s="15">
        <v>4136.3999999999996</v>
      </c>
    </row>
    <row r="319" spans="1:7" ht="22.5" x14ac:dyDescent="0.25">
      <c r="A319" s="13">
        <v>12677</v>
      </c>
      <c r="B319" s="14">
        <v>43409.494745370372</v>
      </c>
      <c r="C319" s="13" t="s">
        <v>10</v>
      </c>
      <c r="D319" s="13" t="str">
        <f t="shared" si="18"/>
        <v>FARMACI FILE F</v>
      </c>
      <c r="E319" s="13" t="str">
        <f>"NOVARTIS FARMA SPA con Socio Unico"</f>
        <v>NOVARTIS FARMA SPA con Socio Unico</v>
      </c>
      <c r="F319" s="13" t="s">
        <v>14</v>
      </c>
      <c r="G319" s="15">
        <v>5974.8</v>
      </c>
    </row>
    <row r="320" spans="1:7" ht="22.5" x14ac:dyDescent="0.25">
      <c r="A320" s="13">
        <v>12678</v>
      </c>
      <c r="B320" s="14">
        <v>43409.494745370372</v>
      </c>
      <c r="C320" s="13" t="s">
        <v>10</v>
      </c>
      <c r="D320" s="13" t="str">
        <f t="shared" si="18"/>
        <v>FARMACI FILE F</v>
      </c>
      <c r="E320" s="13" t="str">
        <f>"NOVARTIS FARMA SPA con Socio Unico"</f>
        <v>NOVARTIS FARMA SPA con Socio Unico</v>
      </c>
      <c r="F320" s="13" t="s">
        <v>14</v>
      </c>
      <c r="G320" s="15">
        <v>40546</v>
      </c>
    </row>
    <row r="321" spans="1:7" ht="22.5" x14ac:dyDescent="0.25">
      <c r="A321" s="13">
        <v>12679</v>
      </c>
      <c r="B321" s="14">
        <v>43409.494745370372</v>
      </c>
      <c r="C321" s="13" t="s">
        <v>10</v>
      </c>
      <c r="D321" s="13" t="str">
        <f>"FORMAZIONE PERSONALE DA PRIVATO"</f>
        <v>FORMAZIONE PERSONALE DA PRIVATO</v>
      </c>
      <c r="E321" s="13" t="str">
        <f>"ESEM - CPT ENTE UNIFICATO FORMAZIONE E SICUREZZA"</f>
        <v>ESEM - CPT ENTE UNIFICATO FORMAZIONE E SICUREZZA</v>
      </c>
      <c r="F321" s="13" t="s">
        <v>27</v>
      </c>
      <c r="G321" s="15">
        <v>680</v>
      </c>
    </row>
    <row r="322" spans="1:7" ht="22.5" x14ac:dyDescent="0.25">
      <c r="A322" s="13">
        <v>12680</v>
      </c>
      <c r="B322" s="14">
        <v>43409.494745370372</v>
      </c>
      <c r="C322" s="13" t="s">
        <v>11</v>
      </c>
      <c r="D322" s="13" t="str">
        <f>"MANUTENZIONE ALTRI BENI ST"</f>
        <v>MANUTENZIONE ALTRI BENI ST</v>
      </c>
      <c r="E322" s="13" t="str">
        <f>"A CIRCLE SPA"</f>
        <v>A CIRCLE SPA</v>
      </c>
      <c r="F322" s="13" t="s">
        <v>22</v>
      </c>
      <c r="G322" s="15">
        <v>4780</v>
      </c>
    </row>
    <row r="323" spans="1:7" ht="22.5" x14ac:dyDescent="0.25">
      <c r="A323" s="13">
        <v>12681</v>
      </c>
      <c r="B323" s="14">
        <v>43409.494745370372</v>
      </c>
      <c r="C323" s="13" t="s">
        <v>10</v>
      </c>
      <c r="D323" s="13" t="str">
        <f>"MATERIALE DIAGNOSTICO (W)"</f>
        <v>MATERIALE DIAGNOSTICO (W)</v>
      </c>
      <c r="E323" s="13" t="str">
        <f>"AGILENT TECHNOLOGIES ITALIA SPA"</f>
        <v>AGILENT TECHNOLOGIES ITALIA SPA</v>
      </c>
      <c r="F323" s="13" t="s">
        <v>14</v>
      </c>
      <c r="G323" s="15">
        <v>1153.57</v>
      </c>
    </row>
    <row r="324" spans="1:7" ht="22.5" x14ac:dyDescent="0.25">
      <c r="A324" s="13">
        <v>12682</v>
      </c>
      <c r="B324" s="14">
        <v>43409.494745370372</v>
      </c>
      <c r="C324" s="13" t="s">
        <v>10</v>
      </c>
      <c r="D324" s="13" t="str">
        <f>"MATERIALE DIAGNOSTICO (W)"</f>
        <v>MATERIALE DIAGNOSTICO (W)</v>
      </c>
      <c r="E324" s="13" t="str">
        <f>"AGILENT TECHNOLOGIES ITALIA SPA"</f>
        <v>AGILENT TECHNOLOGIES ITALIA SPA</v>
      </c>
      <c r="F324" s="13" t="s">
        <v>14</v>
      </c>
      <c r="G324" s="15">
        <v>1153.57</v>
      </c>
    </row>
    <row r="325" spans="1:7" ht="22.5" x14ac:dyDescent="0.25">
      <c r="A325" s="13">
        <v>12683</v>
      </c>
      <c r="B325" s="14">
        <v>43409.494745370372</v>
      </c>
      <c r="C325" s="13" t="s">
        <v>10</v>
      </c>
      <c r="D325" s="13" t="str">
        <f>"MATERIALE DIAGNOSTICO (W)"</f>
        <v>MATERIALE DIAGNOSTICO (W)</v>
      </c>
      <c r="E325" s="13" t="str">
        <f>"AHSI SPA"</f>
        <v>AHSI SPA</v>
      </c>
      <c r="F325" s="13" t="s">
        <v>14</v>
      </c>
      <c r="G325" s="15">
        <v>1000</v>
      </c>
    </row>
    <row r="326" spans="1:7" ht="33.75" x14ac:dyDescent="0.25">
      <c r="A326" s="13">
        <v>12684</v>
      </c>
      <c r="B326" s="14">
        <v>43409.494745370372</v>
      </c>
      <c r="C326" s="13" t="s">
        <v>10</v>
      </c>
      <c r="D326" s="13" t="str">
        <f>"PRESIDI MEDICO-CHIRURGICI GENERICI E AUSILI TECNICI PER DISABILI H"</f>
        <v>PRESIDI MEDICO-CHIRURGICI GENERICI E AUSILI TECNICI PER DISABILI H</v>
      </c>
      <c r="E326" s="13" t="str">
        <f>"B. BRAUN MILANO SPA a Socio Unico"</f>
        <v>B. BRAUN MILANO SPA a Socio Unico</v>
      </c>
      <c r="F326" s="13" t="s">
        <v>14</v>
      </c>
      <c r="G326" s="15">
        <v>6270.1</v>
      </c>
    </row>
    <row r="327" spans="1:7" ht="33.75" x14ac:dyDescent="0.25">
      <c r="A327" s="13">
        <v>12685</v>
      </c>
      <c r="B327" s="14">
        <v>43409.494745370372</v>
      </c>
      <c r="C327" s="13" t="s">
        <v>10</v>
      </c>
      <c r="D327" s="13" t="str">
        <f>"PRESIDI MEDICO-CHIRURGICI GENERICI E AUSILI TECNICI PER DISABILI T"</f>
        <v>PRESIDI MEDICO-CHIRURGICI GENERICI E AUSILI TECNICI PER DISABILI T</v>
      </c>
      <c r="E327" s="13" t="str">
        <f>"B LIFE SRL"</f>
        <v>B LIFE SRL</v>
      </c>
      <c r="F327" s="13" t="s">
        <v>14</v>
      </c>
      <c r="G327" s="15">
        <v>1346</v>
      </c>
    </row>
    <row r="328" spans="1:7" ht="22.5" x14ac:dyDescent="0.25">
      <c r="A328" s="13">
        <v>12686</v>
      </c>
      <c r="B328" s="14">
        <v>43409.494745370372</v>
      </c>
      <c r="C328" s="13" t="s">
        <v>10</v>
      </c>
      <c r="D328" s="13" t="str">
        <f>"PRODOTTI FARMACEUTICI CON AIC"</f>
        <v>PRODOTTI FARMACEUTICI CON AIC</v>
      </c>
      <c r="E328" s="13" t="str">
        <f>"ABBVIE SRL a Socio Unico"</f>
        <v>ABBVIE SRL a Socio Unico</v>
      </c>
      <c r="F328" s="13" t="s">
        <v>14</v>
      </c>
      <c r="G328" s="15">
        <v>570</v>
      </c>
    </row>
    <row r="329" spans="1:7" ht="22.5" x14ac:dyDescent="0.25">
      <c r="A329" s="13">
        <v>12687</v>
      </c>
      <c r="B329" s="14">
        <v>43409.494745370372</v>
      </c>
      <c r="C329" s="13" t="s">
        <v>10</v>
      </c>
      <c r="D329" s="13" t="str">
        <f>"PRODOTTI FARMACEUTICI CON AIC"</f>
        <v>PRODOTTI FARMACEUTICI CON AIC</v>
      </c>
      <c r="E329" s="13" t="str">
        <f>"ALLOGA (ITALIA) SRL"</f>
        <v>ALLOGA (ITALIA) SRL</v>
      </c>
      <c r="F329" s="13" t="s">
        <v>14</v>
      </c>
      <c r="G329" s="15">
        <v>900.06</v>
      </c>
    </row>
    <row r="330" spans="1:7" ht="22.5" x14ac:dyDescent="0.25">
      <c r="A330" s="13">
        <v>12688</v>
      </c>
      <c r="B330" s="14">
        <v>43409.494745370372</v>
      </c>
      <c r="C330" s="13" t="s">
        <v>10</v>
      </c>
      <c r="D330" s="13" t="str">
        <f>"PRODOTTI FARMACEUTICI CON AIC"</f>
        <v>PRODOTTI FARMACEUTICI CON AIC</v>
      </c>
      <c r="E330" s="13" t="str">
        <f>"B. BRAUN MILANO SPA a Socio Unico"</f>
        <v>B. BRAUN MILANO SPA a Socio Unico</v>
      </c>
      <c r="F330" s="13" t="s">
        <v>14</v>
      </c>
      <c r="G330" s="15">
        <v>66.8</v>
      </c>
    </row>
    <row r="331" spans="1:7" ht="22.5" x14ac:dyDescent="0.25">
      <c r="A331" s="13">
        <v>12689</v>
      </c>
      <c r="B331" s="14">
        <v>43409.494745370372</v>
      </c>
      <c r="C331" s="13" t="s">
        <v>10</v>
      </c>
      <c r="D331" s="13" t="str">
        <f>"PRODOTTI FARMACEUTICI CON AIC"</f>
        <v>PRODOTTI FARMACEUTICI CON AIC</v>
      </c>
      <c r="E331" s="13" t="str">
        <f>"B. BRAUN MILANO SPA a Socio Unico"</f>
        <v>B. BRAUN MILANO SPA a Socio Unico</v>
      </c>
      <c r="F331" s="13" t="s">
        <v>14</v>
      </c>
      <c r="G331" s="15">
        <v>580.79999999999995</v>
      </c>
    </row>
    <row r="332" spans="1:7" ht="22.5" x14ac:dyDescent="0.25">
      <c r="A332" s="13">
        <v>12690</v>
      </c>
      <c r="B332" s="14">
        <v>43409.494745370372</v>
      </c>
      <c r="C332" s="13" t="s">
        <v>10</v>
      </c>
      <c r="D332" s="13" t="str">
        <f>"PRODOTTI FARMACEUTICI CON AIC"</f>
        <v>PRODOTTI FARMACEUTICI CON AIC</v>
      </c>
      <c r="E332" s="13" t="str">
        <f>"B. BRAUN MILANO SPA a Socio Unico"</f>
        <v>B. BRAUN MILANO SPA a Socio Unico</v>
      </c>
      <c r="F332" s="13" t="s">
        <v>14</v>
      </c>
      <c r="G332" s="15">
        <v>800</v>
      </c>
    </row>
    <row r="333" spans="1:7" ht="22.5" x14ac:dyDescent="0.25">
      <c r="A333" s="13">
        <v>12691</v>
      </c>
      <c r="B333" s="14">
        <v>43409.494745370372</v>
      </c>
      <c r="C333" s="13" t="s">
        <v>10</v>
      </c>
      <c r="D333" s="13" t="str">
        <f>"SMALTIMENTO RIFIUTI SPECIALI E ASSIMILATI"</f>
        <v>SMALTIMENTO RIFIUTI SPECIALI E ASSIMILATI</v>
      </c>
      <c r="E333" s="13" t="str">
        <f>"AMSA SPA - AZIENDA MILANESE SERVIZI AMBIENTALI a Socio Unico"</f>
        <v>AMSA SPA - AZIENDA MILANESE SERVIZI AMBIENTALI a Socio Unico</v>
      </c>
      <c r="F333" s="13" t="s">
        <v>14</v>
      </c>
      <c r="G333" s="15">
        <v>2366</v>
      </c>
    </row>
    <row r="334" spans="1:7" ht="22.5" x14ac:dyDescent="0.25">
      <c r="A334" s="13">
        <v>12692</v>
      </c>
      <c r="B334" s="14">
        <v>43409.494745370372</v>
      </c>
      <c r="C334" s="13" t="s">
        <v>10</v>
      </c>
      <c r="D334" s="13" t="str">
        <f>"SMALTIMENTO RIFIUTI SPECIALI E ASSIMILATI"</f>
        <v>SMALTIMENTO RIFIUTI SPECIALI E ASSIMILATI</v>
      </c>
      <c r="E334" s="13" t="str">
        <f>"AMSA SPA - AZIENDA MILANESE SERVIZI AMBIENTALI a Socio Unico"</f>
        <v>AMSA SPA - AZIENDA MILANESE SERVIZI AMBIENTALI a Socio Unico</v>
      </c>
      <c r="F334" s="13" t="s">
        <v>14</v>
      </c>
      <c r="G334" s="15">
        <v>3549</v>
      </c>
    </row>
    <row r="335" spans="1:7" ht="22.5" x14ac:dyDescent="0.25">
      <c r="A335" s="13">
        <v>12693</v>
      </c>
      <c r="B335" s="14">
        <v>43409.494745370372</v>
      </c>
      <c r="C335" s="13" t="s">
        <v>10</v>
      </c>
      <c r="D335" s="13" t="str">
        <f>"SMALTIMENTO RIFIUTI SPECIALI E ASSIMILATI"</f>
        <v>SMALTIMENTO RIFIUTI SPECIALI E ASSIMILATI</v>
      </c>
      <c r="E335" s="13" t="str">
        <f>"AMSA SPA - AZIENDA MILANESE SERVIZI AMBIENTALI a Socio Unico"</f>
        <v>AMSA SPA - AZIENDA MILANESE SERVIZI AMBIENTALI a Socio Unico</v>
      </c>
      <c r="F335" s="13" t="s">
        <v>14</v>
      </c>
      <c r="G335" s="15">
        <v>702</v>
      </c>
    </row>
    <row r="336" spans="1:7" ht="22.5" x14ac:dyDescent="0.25">
      <c r="A336" s="13">
        <v>12694</v>
      </c>
      <c r="B336" s="14">
        <v>43409.494745370372</v>
      </c>
      <c r="C336" s="13" t="s">
        <v>10</v>
      </c>
      <c r="D336" s="13" t="str">
        <f>"SMALTIMENTO RIFIUTI SPECIALI E ASSIMILATI"</f>
        <v>SMALTIMENTO RIFIUTI SPECIALI E ASSIMILATI</v>
      </c>
      <c r="E336" s="13" t="str">
        <f>"AMSA SPA - AZIENDA MILANESE SERVIZI AMBIENTALI a Socio Unico"</f>
        <v>AMSA SPA - AZIENDA MILANESE SERVIZI AMBIENTALI a Socio Unico</v>
      </c>
      <c r="F336" s="13" t="s">
        <v>14</v>
      </c>
      <c r="G336" s="15">
        <v>2130.39</v>
      </c>
    </row>
    <row r="337" spans="1:7" ht="22.5" x14ac:dyDescent="0.25">
      <c r="A337" s="13">
        <v>12695</v>
      </c>
      <c r="B337" s="14">
        <v>43409.494745370372</v>
      </c>
      <c r="C337" s="13" t="s">
        <v>10</v>
      </c>
      <c r="D337" s="13" t="str">
        <f>"STRUMENTARIO CHIRURGICO (K, L)"</f>
        <v>STRUMENTARIO CHIRURGICO (K, L)</v>
      </c>
      <c r="E337" s="13" t="str">
        <f>"ARTHREX ITALIA SRL"</f>
        <v>ARTHREX ITALIA SRL</v>
      </c>
      <c r="F337" s="13" t="s">
        <v>14</v>
      </c>
      <c r="G337" s="15">
        <v>2400</v>
      </c>
    </row>
    <row r="338" spans="1:7" ht="22.5" x14ac:dyDescent="0.25">
      <c r="A338" s="13">
        <v>12696</v>
      </c>
      <c r="B338" s="14">
        <v>43409.494756944441</v>
      </c>
      <c r="C338" s="13" t="s">
        <v>10</v>
      </c>
      <c r="D338" s="13" t="str">
        <f>"ALTRO MATERIALE SANITARIO (SENZA CND)"</f>
        <v>ALTRO MATERIALE SANITARIO (SENZA CND)</v>
      </c>
      <c r="E338" s="13" t="str">
        <f>"NOVAMEDISAN ITALIA SRL"</f>
        <v>NOVAMEDISAN ITALIA SRL</v>
      </c>
      <c r="F338" s="13" t="s">
        <v>16</v>
      </c>
      <c r="G338" s="15">
        <v>2130</v>
      </c>
    </row>
    <row r="339" spans="1:7" ht="22.5" x14ac:dyDescent="0.25">
      <c r="A339" s="13">
        <v>12697</v>
      </c>
      <c r="B339" s="14">
        <v>43409.494756944441</v>
      </c>
      <c r="C339" s="13" t="s">
        <v>10</v>
      </c>
      <c r="D339" s="13" t="str">
        <f>"ALTRO MATERIALE SANITARIO (SENZA CND)"</f>
        <v>ALTRO MATERIALE SANITARIO (SENZA CND)</v>
      </c>
      <c r="E339" s="13" t="str">
        <f>"NUOVA FARMEC SRL"</f>
        <v>NUOVA FARMEC SRL</v>
      </c>
      <c r="F339" s="13" t="s">
        <v>16</v>
      </c>
      <c r="G339" s="15">
        <v>770</v>
      </c>
    </row>
    <row r="340" spans="1:7" ht="22.5" x14ac:dyDescent="0.25">
      <c r="A340" s="13">
        <v>12698</v>
      </c>
      <c r="B340" s="14">
        <v>43409.494756944441</v>
      </c>
      <c r="C340" s="13" t="s">
        <v>10</v>
      </c>
      <c r="D340" s="13" t="str">
        <f>"FARMACI FILE F"</f>
        <v>FARMACI FILE F</v>
      </c>
      <c r="E340" s="13" t="str">
        <f>"NOVARTIS FARMA SPA con Socio Unico"</f>
        <v>NOVARTIS FARMA SPA con Socio Unico</v>
      </c>
      <c r="F340" s="13" t="s">
        <v>14</v>
      </c>
      <c r="G340" s="15">
        <v>2587.02</v>
      </c>
    </row>
    <row r="341" spans="1:7" ht="22.5" x14ac:dyDescent="0.25">
      <c r="A341" s="13">
        <v>12699</v>
      </c>
      <c r="B341" s="14">
        <v>43409.494756944441</v>
      </c>
      <c r="C341" s="13" t="s">
        <v>10</v>
      </c>
      <c r="D341" s="13" t="str">
        <f>"FARMACI FILE F"</f>
        <v>FARMACI FILE F</v>
      </c>
      <c r="E341" s="13" t="str">
        <f>"NOVARTIS FARMA SPA con Socio Unico"</f>
        <v>NOVARTIS FARMA SPA con Socio Unico</v>
      </c>
      <c r="F341" s="13" t="s">
        <v>14</v>
      </c>
      <c r="G341" s="15">
        <v>5174.04</v>
      </c>
    </row>
    <row r="342" spans="1:7" ht="22.5" x14ac:dyDescent="0.25">
      <c r="A342" s="13">
        <v>12700</v>
      </c>
      <c r="B342" s="14">
        <v>43409.494756944441</v>
      </c>
      <c r="C342" s="13" t="s">
        <v>10</v>
      </c>
      <c r="D342" s="13" t="str">
        <f>"MATERIALI DI GUARDAROBA E CONVIVENZA"</f>
        <v>MATERIALI DI GUARDAROBA E CONVIVENZA</v>
      </c>
      <c r="E342" s="13" t="str">
        <f>"NUOVA FARMEC SRL"</f>
        <v>NUOVA FARMEC SRL</v>
      </c>
      <c r="F342" s="13" t="s">
        <v>14</v>
      </c>
      <c r="G342" s="15">
        <v>325</v>
      </c>
    </row>
    <row r="343" spans="1:7" ht="33.75" x14ac:dyDescent="0.25">
      <c r="A343" s="13">
        <v>12701</v>
      </c>
      <c r="B343" s="14">
        <v>43409.494756944441</v>
      </c>
      <c r="C343" s="13" t="s">
        <v>10</v>
      </c>
      <c r="D343" s="13" t="str">
        <f>"PRESIDI MEDICO-CHIRURGICI GENERICI E AUSILI TECNICI PER DISABILI T"</f>
        <v>PRESIDI MEDICO-CHIRURGICI GENERICI E AUSILI TECNICI PER DISABILI T</v>
      </c>
      <c r="E343" s="13" t="str">
        <f>"NACATUR INTERNATIONAL IMPORT-EXPORT SRL"</f>
        <v>NACATUR INTERNATIONAL IMPORT-EXPORT SRL</v>
      </c>
      <c r="F343" s="13" t="s">
        <v>14</v>
      </c>
      <c r="G343" s="15">
        <v>2363.5</v>
      </c>
    </row>
    <row r="344" spans="1:7" ht="22.5" x14ac:dyDescent="0.25">
      <c r="A344" s="13">
        <v>12702</v>
      </c>
      <c r="B344" s="14">
        <v>43409.494756944441</v>
      </c>
      <c r="C344" s="13" t="s">
        <v>10</v>
      </c>
      <c r="D344" s="13" t="str">
        <f>"PRODOTTI FARMACEUTICI CON AIC"</f>
        <v>PRODOTTI FARMACEUTICI CON AIC</v>
      </c>
      <c r="E344" s="13" t="str">
        <f>"NORGINE ITALIA SRL"</f>
        <v>NORGINE ITALIA SRL</v>
      </c>
      <c r="F344" s="13" t="s">
        <v>14</v>
      </c>
      <c r="G344" s="15">
        <v>2260.8000000000002</v>
      </c>
    </row>
    <row r="345" spans="1:7" ht="22.5" x14ac:dyDescent="0.25">
      <c r="A345" s="13">
        <v>12703</v>
      </c>
      <c r="B345" s="14">
        <v>43410.442152777781</v>
      </c>
      <c r="C345" s="13" t="s">
        <v>10</v>
      </c>
      <c r="D345" s="13" t="str">
        <f>"SERVIZIO DI LAVANDERIA"</f>
        <v>SERVIZIO DI LAVANDERIA</v>
      </c>
      <c r="E345" s="13" t="str">
        <f>"ADAPTA SPA"</f>
        <v>ADAPTA SPA</v>
      </c>
      <c r="F345" s="13" t="s">
        <v>17</v>
      </c>
      <c r="G345" s="15">
        <v>10189.299999999999</v>
      </c>
    </row>
    <row r="346" spans="1:7" ht="22.5" x14ac:dyDescent="0.25">
      <c r="A346" s="13">
        <v>12704</v>
      </c>
      <c r="B346" s="14">
        <v>43410.442164351851</v>
      </c>
      <c r="C346" s="13" t="s">
        <v>10</v>
      </c>
      <c r="D346" s="13" t="str">
        <f>"MATERIALI DI GUARDAROBA E CONVIVENZA"</f>
        <v>MATERIALI DI GUARDAROBA E CONVIVENZA</v>
      </c>
      <c r="E346" s="13" t="str">
        <f>"BANDIRALI SRL"</f>
        <v>BANDIRALI SRL</v>
      </c>
      <c r="F346" s="13" t="s">
        <v>14</v>
      </c>
      <c r="G346" s="15">
        <v>92.35</v>
      </c>
    </row>
    <row r="347" spans="1:7" ht="33.75" x14ac:dyDescent="0.25">
      <c r="A347" s="13">
        <v>12705</v>
      </c>
      <c r="B347" s="14">
        <v>43410.518773148149</v>
      </c>
      <c r="C347" s="13" t="s">
        <v>10</v>
      </c>
      <c r="D347" s="13" t="str">
        <f>"DISPOSITIVI DI SOMMINISTRAZIONE, PRELIEVO E RACCOLTA (CIN A)"</f>
        <v>DISPOSITIVI DI SOMMINISTRAZIONE, PRELIEVO E RACCOLTA (CIN A)</v>
      </c>
      <c r="E347" s="13" t="str">
        <f>"BIOPSYBELL SRL"</f>
        <v>BIOPSYBELL SRL</v>
      </c>
      <c r="F347" s="13" t="s">
        <v>14</v>
      </c>
      <c r="G347" s="15">
        <v>151.5</v>
      </c>
    </row>
    <row r="348" spans="1:7" ht="22.5" x14ac:dyDescent="0.25">
      <c r="A348" s="13">
        <v>12706</v>
      </c>
      <c r="B348" s="14">
        <v>43410.518773148149</v>
      </c>
      <c r="C348" s="13" t="s">
        <v>10</v>
      </c>
      <c r="D348" s="13" t="str">
        <f>"FARMACI FILE F"</f>
        <v>FARMACI FILE F</v>
      </c>
      <c r="E348" s="13" t="str">
        <f>"BIOGEN ITALIA SRL"</f>
        <v>BIOGEN ITALIA SRL</v>
      </c>
      <c r="F348" s="13" t="s">
        <v>14</v>
      </c>
      <c r="G348" s="15">
        <v>3530.88</v>
      </c>
    </row>
    <row r="349" spans="1:7" ht="22.5" x14ac:dyDescent="0.25">
      <c r="A349" s="13">
        <v>12707</v>
      </c>
      <c r="B349" s="14">
        <v>43410.518773148149</v>
      </c>
      <c r="C349" s="13" t="s">
        <v>11</v>
      </c>
      <c r="D349" s="13" t="str">
        <f>"MANUTENZIONE ATTREZZATURE SANITARIE"</f>
        <v>MANUTENZIONE ATTREZZATURE SANITARIE</v>
      </c>
      <c r="E349" s="13" t="str">
        <f>"BONESCHI &amp; C. SPA"</f>
        <v>BONESCHI &amp; C. SPA</v>
      </c>
      <c r="F349" s="13" t="s">
        <v>22</v>
      </c>
      <c r="G349" s="15">
        <v>295</v>
      </c>
    </row>
    <row r="350" spans="1:7" ht="22.5" x14ac:dyDescent="0.25">
      <c r="A350" s="13">
        <v>12708</v>
      </c>
      <c r="B350" s="14">
        <v>43410.518773148149</v>
      </c>
      <c r="C350" s="13" t="s">
        <v>10</v>
      </c>
      <c r="D350" s="13" t="str">
        <f>"MATERIALE DIAGNOSTICO (W)"</f>
        <v>MATERIALE DIAGNOSTICO (W)</v>
      </c>
      <c r="E350" s="13" t="str">
        <f>"BIO - RAD LABORATORIES SRL"</f>
        <v>BIO - RAD LABORATORIES SRL</v>
      </c>
      <c r="F350" s="13" t="s">
        <v>14</v>
      </c>
      <c r="G350" s="15">
        <v>1225.8</v>
      </c>
    </row>
    <row r="351" spans="1:7" ht="22.5" x14ac:dyDescent="0.25">
      <c r="A351" s="13">
        <v>12709</v>
      </c>
      <c r="B351" s="14">
        <v>43410.518773148149</v>
      </c>
      <c r="C351" s="13" t="s">
        <v>10</v>
      </c>
      <c r="D351" s="13" t="str">
        <f>"MATERIALE PROTESICO"</f>
        <v>MATERIALE PROTESICO</v>
      </c>
      <c r="E351" s="13" t="str">
        <f>"BIOTIM SRL"</f>
        <v>BIOTIM SRL</v>
      </c>
      <c r="F351" s="13" t="s">
        <v>14</v>
      </c>
      <c r="G351" s="15">
        <v>532.79999999999995</v>
      </c>
    </row>
    <row r="352" spans="1:7" ht="33.75" x14ac:dyDescent="0.25">
      <c r="A352" s="13">
        <v>12710</v>
      </c>
      <c r="B352" s="14">
        <v>43410.518773148149</v>
      </c>
      <c r="C352" s="13" t="s">
        <v>10</v>
      </c>
      <c r="D352" s="13" t="str">
        <f>"PRESIDI MEDICO-CHIRURGICI GENERICI E AUSILI TECNICI PER DISABILI T"</f>
        <v>PRESIDI MEDICO-CHIRURGICI GENERICI E AUSILI TECNICI PER DISABILI T</v>
      </c>
      <c r="E352" s="13" t="str">
        <f>"BERICA SPA"</f>
        <v>BERICA SPA</v>
      </c>
      <c r="F352" s="13" t="s">
        <v>14</v>
      </c>
      <c r="G352" s="15">
        <v>1271.5999999999999</v>
      </c>
    </row>
    <row r="353" spans="1:7" ht="22.5" x14ac:dyDescent="0.25">
      <c r="A353" s="13">
        <v>12711</v>
      </c>
      <c r="B353" s="14">
        <v>43410.518773148149</v>
      </c>
      <c r="C353" s="13" t="s">
        <v>10</v>
      </c>
      <c r="D353" s="13" t="str">
        <f>"PRODOTTI FARMACEUTICI CON AIC"</f>
        <v>PRODOTTI FARMACEUTICI CON AIC</v>
      </c>
      <c r="E353" s="13" t="str">
        <f>"BIOINDUSTRIA L.I.M. SPA - LABORATORIO ITALIANO MEDICINALI"</f>
        <v>BIOINDUSTRIA L.I.M. SPA - LABORATORIO ITALIANO MEDICINALI</v>
      </c>
      <c r="F353" s="13" t="s">
        <v>14</v>
      </c>
      <c r="G353" s="15">
        <v>1500.7</v>
      </c>
    </row>
    <row r="354" spans="1:7" ht="22.5" x14ac:dyDescent="0.25">
      <c r="A354" s="13">
        <v>12712</v>
      </c>
      <c r="B354" s="14">
        <v>43410.518773148149</v>
      </c>
      <c r="C354" s="13" t="s">
        <v>10</v>
      </c>
      <c r="D354" s="13" t="str">
        <f>"PRODOTTI FARMACEUTICI CON AIC"</f>
        <v>PRODOTTI FARMACEUTICI CON AIC</v>
      </c>
      <c r="E354" s="13" t="str">
        <f>"BIOINDUSTRIA L.I.M. SPA - LABORATORIO ITALIANO MEDICINALI"</f>
        <v>BIOINDUSTRIA L.I.M. SPA - LABORATORIO ITALIANO MEDICINALI</v>
      </c>
      <c r="F354" s="13" t="s">
        <v>14</v>
      </c>
      <c r="G354" s="15">
        <v>448.8</v>
      </c>
    </row>
    <row r="355" spans="1:7" ht="22.5" x14ac:dyDescent="0.25">
      <c r="A355" s="13">
        <v>12713</v>
      </c>
      <c r="B355" s="14">
        <v>43410.518784722219</v>
      </c>
      <c r="C355" s="13" t="s">
        <v>10</v>
      </c>
      <c r="D355" s="13" t="str">
        <f>"ALTRI SERVIZI S.T."</f>
        <v>ALTRI SERVIZI S.T.</v>
      </c>
      <c r="E355" s="13" t="str">
        <f>"CAMAR ITALIA SRL"</f>
        <v>CAMAR ITALIA SRL</v>
      </c>
      <c r="F355" s="13" t="str">
        <f>"ALTRE SPESE PER SERV.NON SANITARI"</f>
        <v>ALTRE SPESE PER SERV.NON SANITARI</v>
      </c>
      <c r="G355" s="15">
        <v>640.34</v>
      </c>
    </row>
    <row r="356" spans="1:7" ht="22.5" x14ac:dyDescent="0.25">
      <c r="A356" s="13">
        <v>12714</v>
      </c>
      <c r="B356" s="14">
        <v>43410.518784722219</v>
      </c>
      <c r="C356" s="13" t="s">
        <v>10</v>
      </c>
      <c r="D356" s="13" t="str">
        <f>"ALTRI SERVIZI S.T."</f>
        <v>ALTRI SERVIZI S.T.</v>
      </c>
      <c r="E356" s="13" t="str">
        <f>"CAMAR ITALIA SRL"</f>
        <v>CAMAR ITALIA SRL</v>
      </c>
      <c r="F356" s="13" t="str">
        <f>"ALTRE SPESE PER SERV.NON SANITARI"</f>
        <v>ALTRE SPESE PER SERV.NON SANITARI</v>
      </c>
      <c r="G356" s="15">
        <v>1470</v>
      </c>
    </row>
    <row r="357" spans="1:7" ht="22.5" x14ac:dyDescent="0.25">
      <c r="A357" s="13">
        <v>12715</v>
      </c>
      <c r="B357" s="14">
        <v>43410.518784722219</v>
      </c>
      <c r="C357" s="13" t="s">
        <v>10</v>
      </c>
      <c r="D357" s="13" t="str">
        <f>"ALTRO MATERIALE SANITARIO (SENZA CND)"</f>
        <v>ALTRO MATERIALE SANITARIO (SENZA CND)</v>
      </c>
      <c r="E357" s="13" t="str">
        <f>"CEA SPA"</f>
        <v>CEA SPA</v>
      </c>
      <c r="F357" s="13" t="s">
        <v>16</v>
      </c>
      <c r="G357" s="15">
        <v>820.44</v>
      </c>
    </row>
    <row r="358" spans="1:7" ht="33.75" x14ac:dyDescent="0.25">
      <c r="A358" s="13">
        <v>12716</v>
      </c>
      <c r="B358" s="14">
        <v>43410.518784722219</v>
      </c>
      <c r="C358" s="13" t="s">
        <v>10</v>
      </c>
      <c r="D358" s="13" t="str">
        <f>"DISINFETTANTI, PRODOTTI PER STERILIZZAZIONE E DISPOSITIVI VARI V"</f>
        <v>DISINFETTANTI, PRODOTTI PER STERILIZZAZIONE E DISPOSITIVI VARI V</v>
      </c>
      <c r="E358" s="13" t="str">
        <f>"BONESCHI &amp; C. SPA"</f>
        <v>BONESCHI &amp; C. SPA</v>
      </c>
      <c r="F358" s="13" t="s">
        <v>14</v>
      </c>
      <c r="G358" s="15">
        <v>122.85</v>
      </c>
    </row>
    <row r="359" spans="1:7" ht="33.75" x14ac:dyDescent="0.25">
      <c r="A359" s="13">
        <v>12717</v>
      </c>
      <c r="B359" s="14">
        <v>43410.518784722219</v>
      </c>
      <c r="C359" s="13" t="s">
        <v>10</v>
      </c>
      <c r="D359" s="13" t="str">
        <f>"DISPOSITIVI DI SOMMINISTRAZIONE, PRELIEVO E RACCOLTA (CIN A)"</f>
        <v>DISPOSITIVI DI SOMMINISTRAZIONE, PRELIEVO E RACCOLTA (CIN A)</v>
      </c>
      <c r="E359" s="13" t="str">
        <f>"CAIR ITALIA SRL"</f>
        <v>CAIR ITALIA SRL</v>
      </c>
      <c r="F359" s="13" t="s">
        <v>14</v>
      </c>
      <c r="G359" s="15">
        <v>165.6</v>
      </c>
    </row>
    <row r="360" spans="1:7" ht="22.5" x14ac:dyDescent="0.25">
      <c r="A360" s="13">
        <v>12718</v>
      </c>
      <c r="B360" s="14">
        <v>43410.518784722219</v>
      </c>
      <c r="C360" s="13" t="s">
        <v>10</v>
      </c>
      <c r="D360" s="13" t="str">
        <f>"FARMACI FILE F"</f>
        <v>FARMACI FILE F</v>
      </c>
      <c r="E360" s="13" t="str">
        <f>"BRISTOL - MYERS SQUIBB SRL Societa Unipersonale"</f>
        <v>BRISTOL - MYERS SQUIBB SRL Societa Unipersonale</v>
      </c>
      <c r="F360" s="13" t="s">
        <v>14</v>
      </c>
      <c r="G360" s="15">
        <v>44084.4</v>
      </c>
    </row>
    <row r="361" spans="1:7" ht="22.5" x14ac:dyDescent="0.25">
      <c r="A361" s="13">
        <v>12719</v>
      </c>
      <c r="B361" s="14">
        <v>43410.518784722219</v>
      </c>
      <c r="C361" s="13" t="s">
        <v>11</v>
      </c>
      <c r="D361" s="13" t="str">
        <f>"MANUTENZIONE ALTRI BENI ST"</f>
        <v>MANUTENZIONE ALTRI BENI ST</v>
      </c>
      <c r="E361" s="13" t="str">
        <f>"CAZZANI &amp; COLOMBO SRL a Socio Unico"</f>
        <v>CAZZANI &amp; COLOMBO SRL a Socio Unico</v>
      </c>
      <c r="F361" s="13" t="s">
        <v>22</v>
      </c>
      <c r="G361" s="15">
        <v>1500</v>
      </c>
    </row>
    <row r="362" spans="1:7" ht="33.75" x14ac:dyDescent="0.25">
      <c r="A362" s="13">
        <v>12720</v>
      </c>
      <c r="B362" s="14">
        <v>43410.518784722219</v>
      </c>
      <c r="C362" s="13" t="s">
        <v>10</v>
      </c>
      <c r="D362" s="13" t="str">
        <f>"PRESIDI MEDICO-CHIRURGICI GENERICI E AUSILI TECNICI PER DISABILI M"</f>
        <v>PRESIDI MEDICO-CHIRURGICI GENERICI E AUSILI TECNICI PER DISABILI M</v>
      </c>
      <c r="E362" s="13" t="str">
        <f>"BSN MEDICAL SRL Soc. con Socio Unico"</f>
        <v>BSN MEDICAL SRL Soc. con Socio Unico</v>
      </c>
      <c r="F362" s="13" t="s">
        <v>14</v>
      </c>
      <c r="G362" s="15">
        <v>110</v>
      </c>
    </row>
    <row r="363" spans="1:7" ht="33.75" x14ac:dyDescent="0.25">
      <c r="A363" s="13">
        <v>12721</v>
      </c>
      <c r="B363" s="14">
        <v>43410.518784722219</v>
      </c>
      <c r="C363" s="13" t="s">
        <v>10</v>
      </c>
      <c r="D363" s="13" t="str">
        <f>"PRESIDI MEDICO-CHIRURGICI GENERICI E AUSILI TECNICI PER DISABILI M"</f>
        <v>PRESIDI MEDICO-CHIRURGICI GENERICI E AUSILI TECNICI PER DISABILI M</v>
      </c>
      <c r="E363" s="13" t="str">
        <f>"BSN MEDICAL SRL Soc. con Socio Unico"</f>
        <v>BSN MEDICAL SRL Soc. con Socio Unico</v>
      </c>
      <c r="F363" s="13" t="s">
        <v>14</v>
      </c>
      <c r="G363" s="15">
        <v>260</v>
      </c>
    </row>
    <row r="364" spans="1:7" ht="33.75" x14ac:dyDescent="0.25">
      <c r="A364" s="13">
        <v>12722</v>
      </c>
      <c r="B364" s="14">
        <v>43410.518784722219</v>
      </c>
      <c r="C364" s="13" t="s">
        <v>10</v>
      </c>
      <c r="D364" s="13" t="str">
        <f>"PRESIDI MEDICO-CHIRURGICI GENERICI E AUSILI TECNICI PER DISABILI M"</f>
        <v>PRESIDI MEDICO-CHIRURGICI GENERICI E AUSILI TECNICI PER DISABILI M</v>
      </c>
      <c r="E364" s="13" t="str">
        <f>"BSN MEDICAL SRL Soc. con Socio Unico"</f>
        <v>BSN MEDICAL SRL Soc. con Socio Unico</v>
      </c>
      <c r="F364" s="13" t="s">
        <v>14</v>
      </c>
      <c r="G364" s="15">
        <v>130</v>
      </c>
    </row>
    <row r="365" spans="1:7" ht="22.5" x14ac:dyDescent="0.25">
      <c r="A365" s="13">
        <v>12723</v>
      </c>
      <c r="B365" s="14">
        <v>43410.518784722219</v>
      </c>
      <c r="C365" s="13" t="s">
        <v>10</v>
      </c>
      <c r="D365" s="13" t="str">
        <f>"PRODOTTI FARMACEUTICI CON AIC"</f>
        <v>PRODOTTI FARMACEUTICI CON AIC</v>
      </c>
      <c r="E365" s="13" t="str">
        <f>"BRISTOL - MYERS SQUIBB SRL Societa Unipersonale"</f>
        <v>BRISTOL - MYERS SQUIBB SRL Societa Unipersonale</v>
      </c>
      <c r="F365" s="13" t="s">
        <v>14</v>
      </c>
      <c r="G365" s="15">
        <v>48.6</v>
      </c>
    </row>
    <row r="366" spans="1:7" ht="22.5" x14ac:dyDescent="0.25">
      <c r="A366" s="13">
        <v>12724</v>
      </c>
      <c r="B366" s="14">
        <v>43410.518784722219</v>
      </c>
      <c r="C366" s="13" t="s">
        <v>10</v>
      </c>
      <c r="D366" s="13" t="str">
        <f>"STRUMENTARIO CHIRURGICO (K, L)"</f>
        <v>STRUMENTARIO CHIRURGICO (K, L)</v>
      </c>
      <c r="E366" s="13" t="str">
        <f>"BONESCHI &amp; C. SPA"</f>
        <v>BONESCHI &amp; C. SPA</v>
      </c>
      <c r="F366" s="13" t="s">
        <v>14</v>
      </c>
      <c r="G366" s="15">
        <v>273</v>
      </c>
    </row>
    <row r="367" spans="1:7" ht="22.5" x14ac:dyDescent="0.25">
      <c r="A367" s="13">
        <v>12725</v>
      </c>
      <c r="B367" s="14">
        <v>43410.518784722219</v>
      </c>
      <c r="C367" s="13" t="s">
        <v>10</v>
      </c>
      <c r="D367" s="13" t="str">
        <f>"STRUMENTARIO CHIRURGICO (K, L)"</f>
        <v>STRUMENTARIO CHIRURGICO (K, L)</v>
      </c>
      <c r="E367" s="13" t="str">
        <f>"BONESCHI &amp; C. SPA"</f>
        <v>BONESCHI &amp; C. SPA</v>
      </c>
      <c r="F367" s="13" t="s">
        <v>14</v>
      </c>
      <c r="G367" s="15">
        <v>171.85</v>
      </c>
    </row>
    <row r="368" spans="1:7" ht="22.5" x14ac:dyDescent="0.25">
      <c r="A368" s="13">
        <v>12726</v>
      </c>
      <c r="B368" s="14">
        <v>43410.518796296295</v>
      </c>
      <c r="C368" s="13" t="s">
        <v>10</v>
      </c>
      <c r="D368" s="13" t="str">
        <f>"ALTRI SERVIZI"</f>
        <v>ALTRI SERVIZI</v>
      </c>
      <c r="E368" s="13" t="str">
        <f>"CS2 SOLUTIONS SRL"</f>
        <v>CS2 SOLUTIONS SRL</v>
      </c>
      <c r="F368" s="13" t="str">
        <f>"ALTRE SPESE PER SERV.NON SANITARI"</f>
        <v>ALTRE SPESE PER SERV.NON SANITARI</v>
      </c>
      <c r="G368" s="15">
        <v>27059.97</v>
      </c>
    </row>
    <row r="369" spans="1:7" ht="22.5" x14ac:dyDescent="0.25">
      <c r="A369" s="13">
        <v>12727</v>
      </c>
      <c r="B369" s="14">
        <v>43410.518796296295</v>
      </c>
      <c r="C369" s="13" t="s">
        <v>10</v>
      </c>
      <c r="D369" s="13" t="str">
        <f>"ALTRI SERVIZI S.T."</f>
        <v>ALTRI SERVIZI S.T.</v>
      </c>
      <c r="E369" s="13" t="str">
        <f>"CENTRO EDILE ANTONINI SRL"</f>
        <v>CENTRO EDILE ANTONINI SRL</v>
      </c>
      <c r="F369" s="13" t="str">
        <f>"ALTRE SPESE PER SERV.NON SANITARI"</f>
        <v>ALTRE SPESE PER SERV.NON SANITARI</v>
      </c>
      <c r="G369" s="15">
        <v>285.74</v>
      </c>
    </row>
    <row r="370" spans="1:7" ht="22.5" x14ac:dyDescent="0.25">
      <c r="A370" s="13">
        <v>12728</v>
      </c>
      <c r="B370" s="14">
        <v>43410.518796296295</v>
      </c>
      <c r="C370" s="13" t="s">
        <v>10</v>
      </c>
      <c r="D370" s="13" t="str">
        <f>"ALTRI SERVIZI S.T."</f>
        <v>ALTRI SERVIZI S.T.</v>
      </c>
      <c r="E370" s="13" t="str">
        <f>"CENTRO EDILE ANTONINI SRL"</f>
        <v>CENTRO EDILE ANTONINI SRL</v>
      </c>
      <c r="F370" s="13" t="str">
        <f>"ALTRE SPESE PER SERV.NON SANITARI"</f>
        <v>ALTRE SPESE PER SERV.NON SANITARI</v>
      </c>
      <c r="G370" s="15">
        <v>117.41</v>
      </c>
    </row>
    <row r="371" spans="1:7" ht="22.5" x14ac:dyDescent="0.25">
      <c r="A371" s="13">
        <v>12729</v>
      </c>
      <c r="B371" s="14">
        <v>43410.518796296295</v>
      </c>
      <c r="C371" s="13" t="s">
        <v>10</v>
      </c>
      <c r="D371" s="13" t="str">
        <f>"ALTRI SERVIZI S.T."</f>
        <v>ALTRI SERVIZI S.T.</v>
      </c>
      <c r="E371" s="13" t="str">
        <f>"COLOMBO IDRO SPA"</f>
        <v>COLOMBO IDRO SPA</v>
      </c>
      <c r="F371" s="13" t="str">
        <f>"ALTRE SPESE PER SERV.NON SANITARI"</f>
        <v>ALTRE SPESE PER SERV.NON SANITARI</v>
      </c>
      <c r="G371" s="15">
        <v>87.17</v>
      </c>
    </row>
    <row r="372" spans="1:7" ht="22.5" x14ac:dyDescent="0.25">
      <c r="A372" s="13">
        <v>12730</v>
      </c>
      <c r="B372" s="14">
        <v>43410.518796296295</v>
      </c>
      <c r="C372" s="13" t="s">
        <v>10</v>
      </c>
      <c r="D372" s="13" t="str">
        <f t="shared" ref="D372:D389" si="19">"MATERIALE PROTESICO"</f>
        <v>MATERIALE PROTESICO</v>
      </c>
      <c r="E372" s="13" t="str">
        <f>"CLINIKA SRL"</f>
        <v>CLINIKA SRL</v>
      </c>
      <c r="F372" s="13" t="s">
        <v>14</v>
      </c>
      <c r="G372" s="15">
        <v>2800</v>
      </c>
    </row>
    <row r="373" spans="1:7" ht="22.5" x14ac:dyDescent="0.25">
      <c r="A373" s="13">
        <v>12731</v>
      </c>
      <c r="B373" s="14">
        <v>43410.518796296295</v>
      </c>
      <c r="C373" s="13" t="s">
        <v>10</v>
      </c>
      <c r="D373" s="13" t="str">
        <f t="shared" si="19"/>
        <v>MATERIALE PROTESICO</v>
      </c>
      <c r="E373" s="13" t="str">
        <f>"CLINIKA SRL"</f>
        <v>CLINIKA SRL</v>
      </c>
      <c r="F373" s="13" t="s">
        <v>14</v>
      </c>
      <c r="G373" s="15">
        <v>1343.86</v>
      </c>
    </row>
    <row r="374" spans="1:7" ht="22.5" x14ac:dyDescent="0.25">
      <c r="A374" s="13">
        <v>12732</v>
      </c>
      <c r="B374" s="14">
        <v>43410.518796296295</v>
      </c>
      <c r="C374" s="13" t="s">
        <v>10</v>
      </c>
      <c r="D374" s="13" t="str">
        <f t="shared" si="19"/>
        <v>MATERIALE PROTESICO</v>
      </c>
      <c r="E374" s="13" t="str">
        <f t="shared" ref="E374:E386" si="20">"CONMED ITALIA SRL con Socio Unico"</f>
        <v>CONMED ITALIA SRL con Socio Unico</v>
      </c>
      <c r="F374" s="13" t="s">
        <v>14</v>
      </c>
      <c r="G374" s="15">
        <v>356.25</v>
      </c>
    </row>
    <row r="375" spans="1:7" ht="22.5" x14ac:dyDescent="0.25">
      <c r="A375" s="13">
        <v>12733</v>
      </c>
      <c r="B375" s="14">
        <v>43410.518796296295</v>
      </c>
      <c r="C375" s="13" t="s">
        <v>10</v>
      </c>
      <c r="D375" s="13" t="str">
        <f t="shared" si="19"/>
        <v>MATERIALE PROTESICO</v>
      </c>
      <c r="E375" s="13" t="str">
        <f t="shared" si="20"/>
        <v>CONMED ITALIA SRL con Socio Unico</v>
      </c>
      <c r="F375" s="13" t="s">
        <v>14</v>
      </c>
      <c r="G375" s="15">
        <v>356.25</v>
      </c>
    </row>
    <row r="376" spans="1:7" ht="22.5" x14ac:dyDescent="0.25">
      <c r="A376" s="13">
        <v>12734</v>
      </c>
      <c r="B376" s="14">
        <v>43410.518796296295</v>
      </c>
      <c r="C376" s="13" t="s">
        <v>10</v>
      </c>
      <c r="D376" s="13" t="str">
        <f t="shared" si="19"/>
        <v>MATERIALE PROTESICO</v>
      </c>
      <c r="E376" s="13" t="str">
        <f t="shared" si="20"/>
        <v>CONMED ITALIA SRL con Socio Unico</v>
      </c>
      <c r="F376" s="13" t="s">
        <v>14</v>
      </c>
      <c r="G376" s="15">
        <v>389.5</v>
      </c>
    </row>
    <row r="377" spans="1:7" ht="22.5" x14ac:dyDescent="0.25">
      <c r="A377" s="13">
        <v>12735</v>
      </c>
      <c r="B377" s="14">
        <v>43410.518796296295</v>
      </c>
      <c r="C377" s="13" t="s">
        <v>10</v>
      </c>
      <c r="D377" s="13" t="str">
        <f t="shared" si="19"/>
        <v>MATERIALE PROTESICO</v>
      </c>
      <c r="E377" s="13" t="str">
        <f t="shared" si="20"/>
        <v>CONMED ITALIA SRL con Socio Unico</v>
      </c>
      <c r="F377" s="13" t="s">
        <v>14</v>
      </c>
      <c r="G377" s="15">
        <v>389.5</v>
      </c>
    </row>
    <row r="378" spans="1:7" ht="22.5" x14ac:dyDescent="0.25">
      <c r="A378" s="13">
        <v>12736</v>
      </c>
      <c r="B378" s="14">
        <v>43410.518796296295</v>
      </c>
      <c r="C378" s="13" t="s">
        <v>10</v>
      </c>
      <c r="D378" s="13" t="str">
        <f t="shared" si="19"/>
        <v>MATERIALE PROTESICO</v>
      </c>
      <c r="E378" s="13" t="str">
        <f t="shared" si="20"/>
        <v>CONMED ITALIA SRL con Socio Unico</v>
      </c>
      <c r="F378" s="13" t="s">
        <v>14</v>
      </c>
      <c r="G378" s="15">
        <v>356.25</v>
      </c>
    </row>
    <row r="379" spans="1:7" ht="22.5" x14ac:dyDescent="0.25">
      <c r="A379" s="13">
        <v>12737</v>
      </c>
      <c r="B379" s="14">
        <v>43410.518796296295</v>
      </c>
      <c r="C379" s="13" t="s">
        <v>10</v>
      </c>
      <c r="D379" s="13" t="str">
        <f t="shared" si="19"/>
        <v>MATERIALE PROTESICO</v>
      </c>
      <c r="E379" s="13" t="str">
        <f t="shared" si="20"/>
        <v>CONMED ITALIA SRL con Socio Unico</v>
      </c>
      <c r="F379" s="13" t="s">
        <v>14</v>
      </c>
      <c r="G379" s="15">
        <v>356.25</v>
      </c>
    </row>
    <row r="380" spans="1:7" ht="22.5" x14ac:dyDescent="0.25">
      <c r="A380" s="13">
        <v>12738</v>
      </c>
      <c r="B380" s="14">
        <v>43410.518796296295</v>
      </c>
      <c r="C380" s="13" t="s">
        <v>10</v>
      </c>
      <c r="D380" s="13" t="str">
        <f t="shared" si="19"/>
        <v>MATERIALE PROTESICO</v>
      </c>
      <c r="E380" s="13" t="str">
        <f t="shared" si="20"/>
        <v>CONMED ITALIA SRL con Socio Unico</v>
      </c>
      <c r="F380" s="13" t="s">
        <v>14</v>
      </c>
      <c r="G380" s="15">
        <v>712.5</v>
      </c>
    </row>
    <row r="381" spans="1:7" ht="22.5" x14ac:dyDescent="0.25">
      <c r="A381" s="13">
        <v>12739</v>
      </c>
      <c r="B381" s="14">
        <v>43410.518796296295</v>
      </c>
      <c r="C381" s="13" t="s">
        <v>10</v>
      </c>
      <c r="D381" s="13" t="str">
        <f t="shared" si="19"/>
        <v>MATERIALE PROTESICO</v>
      </c>
      <c r="E381" s="13" t="str">
        <f t="shared" si="20"/>
        <v>CONMED ITALIA SRL con Socio Unico</v>
      </c>
      <c r="F381" s="13" t="s">
        <v>14</v>
      </c>
      <c r="G381" s="15">
        <v>1135.25</v>
      </c>
    </row>
    <row r="382" spans="1:7" ht="22.5" x14ac:dyDescent="0.25">
      <c r="A382" s="13">
        <v>12740</v>
      </c>
      <c r="B382" s="14">
        <v>43410.518796296295</v>
      </c>
      <c r="C382" s="13" t="s">
        <v>10</v>
      </c>
      <c r="D382" s="13" t="str">
        <f t="shared" si="19"/>
        <v>MATERIALE PROTESICO</v>
      </c>
      <c r="E382" s="13" t="str">
        <f t="shared" si="20"/>
        <v>CONMED ITALIA SRL con Socio Unico</v>
      </c>
      <c r="F382" s="13" t="s">
        <v>14</v>
      </c>
      <c r="G382" s="15">
        <v>745.75</v>
      </c>
    </row>
    <row r="383" spans="1:7" ht="22.5" x14ac:dyDescent="0.25">
      <c r="A383" s="13">
        <v>12741</v>
      </c>
      <c r="B383" s="14">
        <v>43410.518796296295</v>
      </c>
      <c r="C383" s="13" t="s">
        <v>10</v>
      </c>
      <c r="D383" s="13" t="str">
        <f t="shared" si="19"/>
        <v>MATERIALE PROTESICO</v>
      </c>
      <c r="E383" s="13" t="str">
        <f t="shared" si="20"/>
        <v>CONMED ITALIA SRL con Socio Unico</v>
      </c>
      <c r="F383" s="13" t="s">
        <v>14</v>
      </c>
      <c r="G383" s="15">
        <v>779</v>
      </c>
    </row>
    <row r="384" spans="1:7" ht="22.5" x14ac:dyDescent="0.25">
      <c r="A384" s="13">
        <v>12742</v>
      </c>
      <c r="B384" s="14">
        <v>43410.518796296295</v>
      </c>
      <c r="C384" s="13" t="s">
        <v>10</v>
      </c>
      <c r="D384" s="13" t="str">
        <f t="shared" si="19"/>
        <v>MATERIALE PROTESICO</v>
      </c>
      <c r="E384" s="13" t="str">
        <f t="shared" si="20"/>
        <v>CONMED ITALIA SRL con Socio Unico</v>
      </c>
      <c r="F384" s="13" t="s">
        <v>14</v>
      </c>
      <c r="G384" s="15">
        <v>389.5</v>
      </c>
    </row>
    <row r="385" spans="1:7" ht="22.5" x14ac:dyDescent="0.25">
      <c r="A385" s="13">
        <v>12743</v>
      </c>
      <c r="B385" s="14">
        <v>43410.518796296295</v>
      </c>
      <c r="C385" s="13" t="s">
        <v>10</v>
      </c>
      <c r="D385" s="13" t="str">
        <f t="shared" si="19"/>
        <v>MATERIALE PROTESICO</v>
      </c>
      <c r="E385" s="13" t="str">
        <f t="shared" si="20"/>
        <v>CONMED ITALIA SRL con Socio Unico</v>
      </c>
      <c r="F385" s="13" t="s">
        <v>14</v>
      </c>
      <c r="G385" s="15">
        <v>389.5</v>
      </c>
    </row>
    <row r="386" spans="1:7" ht="22.5" x14ac:dyDescent="0.25">
      <c r="A386" s="13">
        <v>12744</v>
      </c>
      <c r="B386" s="14">
        <v>43410.518796296295</v>
      </c>
      <c r="C386" s="13" t="s">
        <v>10</v>
      </c>
      <c r="D386" s="13" t="str">
        <f t="shared" si="19"/>
        <v>MATERIALE PROTESICO</v>
      </c>
      <c r="E386" s="13" t="str">
        <f t="shared" si="20"/>
        <v>CONMED ITALIA SRL con Socio Unico</v>
      </c>
      <c r="F386" s="13" t="s">
        <v>14</v>
      </c>
      <c r="G386" s="15">
        <v>389.5</v>
      </c>
    </row>
    <row r="387" spans="1:7" ht="22.5" x14ac:dyDescent="0.25">
      <c r="A387" s="13">
        <v>12745</v>
      </c>
      <c r="B387" s="14">
        <v>43410.518796296295</v>
      </c>
      <c r="C387" s="13" t="s">
        <v>10</v>
      </c>
      <c r="D387" s="13" t="str">
        <f t="shared" si="19"/>
        <v>MATERIALE PROTESICO</v>
      </c>
      <c r="E387" s="13" t="str">
        <f>"DIAL MEDICALI SRL"</f>
        <v>DIAL MEDICALI SRL</v>
      </c>
      <c r="F387" s="13" t="s">
        <v>14</v>
      </c>
      <c r="G387" s="15">
        <v>106.56</v>
      </c>
    </row>
    <row r="388" spans="1:7" ht="22.5" x14ac:dyDescent="0.25">
      <c r="A388" s="13">
        <v>12746</v>
      </c>
      <c r="B388" s="14">
        <v>43410.518796296295</v>
      </c>
      <c r="C388" s="13" t="s">
        <v>10</v>
      </c>
      <c r="D388" s="13" t="str">
        <f t="shared" si="19"/>
        <v>MATERIALE PROTESICO</v>
      </c>
      <c r="E388" s="13" t="str">
        <f>"DIAL MEDICALI SRL"</f>
        <v>DIAL MEDICALI SRL</v>
      </c>
      <c r="F388" s="13" t="s">
        <v>14</v>
      </c>
      <c r="G388" s="15">
        <v>99.36</v>
      </c>
    </row>
    <row r="389" spans="1:7" ht="22.5" x14ac:dyDescent="0.25">
      <c r="A389" s="13">
        <v>12747</v>
      </c>
      <c r="B389" s="14">
        <v>43410.518796296295</v>
      </c>
      <c r="C389" s="13" t="s">
        <v>10</v>
      </c>
      <c r="D389" s="13" t="str">
        <f t="shared" si="19"/>
        <v>MATERIALE PROTESICO</v>
      </c>
      <c r="E389" s="13" t="str">
        <f>"DIAL MEDICALI SRL"</f>
        <v>DIAL MEDICALI SRL</v>
      </c>
      <c r="F389" s="13" t="s">
        <v>14</v>
      </c>
      <c r="G389" s="15">
        <v>2329.1999999999998</v>
      </c>
    </row>
    <row r="390" spans="1:7" ht="33.75" x14ac:dyDescent="0.25">
      <c r="A390" s="13">
        <v>12748</v>
      </c>
      <c r="B390" s="14">
        <v>43410.518796296295</v>
      </c>
      <c r="C390" s="13" t="s">
        <v>10</v>
      </c>
      <c r="D390" s="13" t="str">
        <f>"PRESIDI MEDICO-CHIRURGICI GENERICI E AUSILI TECNICI PER DISABILI M"</f>
        <v>PRESIDI MEDICO-CHIRURGICI GENERICI E AUSILI TECNICI PER DISABILI M</v>
      </c>
      <c r="E390" s="13" t="str">
        <f>"DASER SRL"</f>
        <v>DASER SRL</v>
      </c>
      <c r="F390" s="13" t="s">
        <v>14</v>
      </c>
      <c r="G390" s="15">
        <v>414</v>
      </c>
    </row>
    <row r="391" spans="1:7" ht="33.75" x14ac:dyDescent="0.25">
      <c r="A391" s="13">
        <v>12749</v>
      </c>
      <c r="B391" s="14">
        <v>43410.518796296295</v>
      </c>
      <c r="C391" s="13" t="s">
        <v>10</v>
      </c>
      <c r="D391" s="13" t="str">
        <f>"PRESIDI MEDICO-CHIRURGICI GENERICI E AUSILI TECNICI PER DISABILI Y"</f>
        <v>PRESIDI MEDICO-CHIRURGICI GENERICI E AUSILI TECNICI PER DISABILI Y</v>
      </c>
      <c r="E391" s="13" t="str">
        <f>"DELTA MED SPA Societa a Socio Unico"</f>
        <v>DELTA MED SPA Societa a Socio Unico</v>
      </c>
      <c r="F391" s="13" t="s">
        <v>14</v>
      </c>
      <c r="G391" s="15">
        <v>92.4</v>
      </c>
    </row>
    <row r="392" spans="1:7" ht="22.5" x14ac:dyDescent="0.25">
      <c r="A392" s="13">
        <v>12750</v>
      </c>
      <c r="B392" s="14">
        <v>43410.518796296295</v>
      </c>
      <c r="C392" s="13" t="s">
        <v>10</v>
      </c>
      <c r="D392" s="13" t="str">
        <f>"PRODOTTI CHIMICI: MATERIALI DIAGNOSTICI (SENZA CND)"</f>
        <v>PRODOTTI CHIMICI: MATERIALI DIAGNOSTICI (SENZA CND)</v>
      </c>
      <c r="E392" s="13" t="str">
        <f>"D.B.A. ITALIA SRL"</f>
        <v>D.B.A. ITALIA SRL</v>
      </c>
      <c r="F392" s="13" t="s">
        <v>14</v>
      </c>
      <c r="G392" s="15">
        <v>260</v>
      </c>
    </row>
    <row r="393" spans="1:7" ht="22.5" x14ac:dyDescent="0.25">
      <c r="A393" s="13">
        <v>12751</v>
      </c>
      <c r="B393" s="14">
        <v>43410.518796296295</v>
      </c>
      <c r="C393" s="13" t="s">
        <v>10</v>
      </c>
      <c r="D393" s="13" t="str">
        <f>"STRUMENTARIO CHIRURGICO (K, L)"</f>
        <v>STRUMENTARIO CHIRURGICO (K, L)</v>
      </c>
      <c r="E393" s="13" t="str">
        <f>"CONMED ITALIA SRL con Socio Unico"</f>
        <v>CONMED ITALIA SRL con Socio Unico</v>
      </c>
      <c r="F393" s="13" t="s">
        <v>14</v>
      </c>
      <c r="G393" s="15">
        <v>874</v>
      </c>
    </row>
    <row r="394" spans="1:7" ht="22.5" x14ac:dyDescent="0.25">
      <c r="A394" s="13">
        <v>12752</v>
      </c>
      <c r="B394" s="14">
        <v>43410.518796296295</v>
      </c>
      <c r="C394" s="13" t="s">
        <v>10</v>
      </c>
      <c r="D394" s="13" t="str">
        <f>"STRUMENTARIO CHIRURGICO (K, L)"</f>
        <v>STRUMENTARIO CHIRURGICO (K, L)</v>
      </c>
      <c r="E394" s="13" t="str">
        <f>"DIAL MEDICALI SRL"</f>
        <v>DIAL MEDICALI SRL</v>
      </c>
      <c r="F394" s="13" t="s">
        <v>14</v>
      </c>
      <c r="G394" s="15">
        <v>1188</v>
      </c>
    </row>
    <row r="395" spans="1:7" ht="22.5" x14ac:dyDescent="0.25">
      <c r="A395" s="13">
        <v>12753</v>
      </c>
      <c r="B395" s="14">
        <v>43410.518807870372</v>
      </c>
      <c r="C395" s="13" t="s">
        <v>10</v>
      </c>
      <c r="D395" s="13" t="str">
        <f>"MATERIALE PROTESICO"</f>
        <v>MATERIALE PROTESICO</v>
      </c>
      <c r="E395" s="13" t="str">
        <f>"DIAL MEDICALI SRL"</f>
        <v>DIAL MEDICALI SRL</v>
      </c>
      <c r="F395" s="13" t="s">
        <v>14</v>
      </c>
      <c r="G395" s="15">
        <v>230.4</v>
      </c>
    </row>
    <row r="396" spans="1:7" ht="22.5" x14ac:dyDescent="0.25">
      <c r="A396" s="13">
        <v>12754</v>
      </c>
      <c r="B396" s="14">
        <v>43410.518807870372</v>
      </c>
      <c r="C396" s="13" t="s">
        <v>10</v>
      </c>
      <c r="D396" s="13" t="str">
        <f>"MATERIALE PROTESICO"</f>
        <v>MATERIALE PROTESICO</v>
      </c>
      <c r="E396" s="13" t="str">
        <f>"DIAL MEDICALI SRL"</f>
        <v>DIAL MEDICALI SRL</v>
      </c>
      <c r="F396" s="13" t="s">
        <v>14</v>
      </c>
      <c r="G396" s="15">
        <v>72</v>
      </c>
    </row>
    <row r="397" spans="1:7" ht="22.5" x14ac:dyDescent="0.25">
      <c r="A397" s="13">
        <v>12755</v>
      </c>
      <c r="B397" s="14">
        <v>43410.518807870372</v>
      </c>
      <c r="C397" s="13" t="s">
        <v>10</v>
      </c>
      <c r="D397" s="13" t="str">
        <f>"MATERIALE PROTESICO"</f>
        <v>MATERIALE PROTESICO</v>
      </c>
      <c r="E397" s="13" t="str">
        <f>"DIAL MEDICALI SRL"</f>
        <v>DIAL MEDICALI SRL</v>
      </c>
      <c r="F397" s="13" t="s">
        <v>14</v>
      </c>
      <c r="G397" s="15">
        <v>216</v>
      </c>
    </row>
    <row r="398" spans="1:7" ht="22.5" x14ac:dyDescent="0.25">
      <c r="A398" s="13">
        <v>12756</v>
      </c>
      <c r="B398" s="14">
        <v>43410.6096875</v>
      </c>
      <c r="C398" s="13" t="s">
        <v>10</v>
      </c>
      <c r="D398" s="13" t="str">
        <f>"PRODOTTI FARMACEUTICI CON AIC"</f>
        <v>PRODOTTI FARMACEUTICI CON AIC</v>
      </c>
      <c r="E398" s="13" t="str">
        <f>"B. BRAUN MILANO SPA a Socio Unico"</f>
        <v>B. BRAUN MILANO SPA a Socio Unico</v>
      </c>
      <c r="F398" s="13" t="s">
        <v>14</v>
      </c>
      <c r="G398" s="15">
        <v>78</v>
      </c>
    </row>
    <row r="399" spans="1:7" ht="22.5" x14ac:dyDescent="0.25">
      <c r="A399" s="13">
        <v>12757</v>
      </c>
      <c r="B399" s="14">
        <v>43410.661793981482</v>
      </c>
      <c r="C399" s="13" t="s">
        <v>10</v>
      </c>
      <c r="D399" s="13" t="str">
        <f>"MATERIALE PROTESICO"</f>
        <v>MATERIALE PROTESICO</v>
      </c>
      <c r="E399" s="13" t="str">
        <f>"DIAL MEDICALI SRL"</f>
        <v>DIAL MEDICALI SRL</v>
      </c>
      <c r="F399" s="13" t="s">
        <v>14</v>
      </c>
      <c r="G399" s="15">
        <v>1450</v>
      </c>
    </row>
    <row r="400" spans="1:7" ht="22.5" x14ac:dyDescent="0.25">
      <c r="A400" s="13">
        <v>12758</v>
      </c>
      <c r="B400" s="14">
        <v>43410.661805555559</v>
      </c>
      <c r="C400" s="13" t="s">
        <v>10</v>
      </c>
      <c r="D400" s="13" t="str">
        <f>"ALTRI SERVIZI S.T."</f>
        <v>ALTRI SERVIZI S.T.</v>
      </c>
      <c r="E400" s="13" t="str">
        <f>"DITTA ANDREA SPINARDI DI GIANPAOLO E ANDREA SPINARDI &amp; C. SAS"</f>
        <v>DITTA ANDREA SPINARDI DI GIANPAOLO E ANDREA SPINARDI &amp; C. SAS</v>
      </c>
      <c r="F400" s="13" t="str">
        <f>"ALTRE SPESE PER SERV.NON SANITARI"</f>
        <v>ALTRE SPESE PER SERV.NON SANITARI</v>
      </c>
      <c r="G400" s="15">
        <v>443.64</v>
      </c>
    </row>
    <row r="401" spans="1:7" ht="22.5" x14ac:dyDescent="0.25">
      <c r="A401" s="13">
        <v>12759</v>
      </c>
      <c r="B401" s="14">
        <v>43410.661805555559</v>
      </c>
      <c r="C401" s="13" t="s">
        <v>10</v>
      </c>
      <c r="D401" s="13" t="str">
        <f>"ALTRO MATERIALE SANITARIO (SENZA CND)"</f>
        <v>ALTRO MATERIALE SANITARIO (SENZA CND)</v>
      </c>
      <c r="E401" s="13" t="str">
        <f>"DRAEGER MEDICAL ITALIA SPA a Socio Unico"</f>
        <v>DRAEGER MEDICAL ITALIA SPA a Socio Unico</v>
      </c>
      <c r="F401" s="13" t="s">
        <v>16</v>
      </c>
      <c r="G401" s="15">
        <v>327.60000000000002</v>
      </c>
    </row>
    <row r="402" spans="1:7" ht="22.5" x14ac:dyDescent="0.25">
      <c r="A402" s="13">
        <v>12760</v>
      </c>
      <c r="B402" s="14">
        <v>43410.661805555559</v>
      </c>
      <c r="C402" s="13" t="s">
        <v>10</v>
      </c>
      <c r="D402" s="13" t="str">
        <f>"ALTRO MATERIALE SANITARIO (SENZA CND)"</f>
        <v>ALTRO MATERIALE SANITARIO (SENZA CND)</v>
      </c>
      <c r="E402" s="13" t="str">
        <f>"F. MARINELLO DE PAOLI"</f>
        <v>F. MARINELLO DE PAOLI</v>
      </c>
      <c r="F402" s="13" t="s">
        <v>16</v>
      </c>
      <c r="G402" s="15">
        <v>162.80000000000001</v>
      </c>
    </row>
    <row r="403" spans="1:7" ht="33.75" x14ac:dyDescent="0.25">
      <c r="A403" s="13">
        <v>12761</v>
      </c>
      <c r="B403" s="14">
        <v>43410.661805555559</v>
      </c>
      <c r="C403" s="13" t="s">
        <v>10</v>
      </c>
      <c r="D403" s="13" t="str">
        <f>"APP.RE SANITARIE E RELATIVI COMPONENTI ACCESSORI E MATERIALE RADIOGRAFICO (Z)"</f>
        <v>APP.RE SANITARIE E RELATIVI COMPONENTI ACCESSORI E MATERIALE RADIOGRAFICO (Z)</v>
      </c>
      <c r="E403" s="13" t="str">
        <f>"DRAEGER MEDICAL ITALIA SPA a Socio Unico"</f>
        <v>DRAEGER MEDICAL ITALIA SPA a Socio Unico</v>
      </c>
      <c r="F403" s="13" t="s">
        <v>14</v>
      </c>
      <c r="G403" s="15">
        <v>3468</v>
      </c>
    </row>
    <row r="404" spans="1:7" ht="22.5" x14ac:dyDescent="0.25">
      <c r="A404" s="13">
        <v>12762</v>
      </c>
      <c r="B404" s="14">
        <v>43410.661805555559</v>
      </c>
      <c r="C404" s="13" t="s">
        <v>10</v>
      </c>
      <c r="D404" s="13" t="str">
        <f>"CANCELLERIA E SUPPORTI MECCANOGRAFICI"</f>
        <v>CANCELLERIA E SUPPORTI MECCANOGRAFICI</v>
      </c>
      <c r="E404" s="13" t="str">
        <f>"ECOREFILL SRL"</f>
        <v>ECOREFILL SRL</v>
      </c>
      <c r="F404" s="13" t="s">
        <v>14</v>
      </c>
      <c r="G404" s="15">
        <v>2180.9</v>
      </c>
    </row>
    <row r="405" spans="1:7" ht="22.5" x14ac:dyDescent="0.25">
      <c r="A405" s="13">
        <v>12763</v>
      </c>
      <c r="B405" s="14">
        <v>43410.661805555559</v>
      </c>
      <c r="C405" s="13" t="s">
        <v>10</v>
      </c>
      <c r="D405" s="13" t="str">
        <f>"CANCELLERIA E SUPPORTI MECCANOGRAFICI"</f>
        <v>CANCELLERIA E SUPPORTI MECCANOGRAFICI</v>
      </c>
      <c r="E405" s="13" t="str">
        <f>"ERREBIAN SPA"</f>
        <v>ERREBIAN SPA</v>
      </c>
      <c r="F405" s="13" t="s">
        <v>14</v>
      </c>
      <c r="G405" s="15">
        <v>596</v>
      </c>
    </row>
    <row r="406" spans="1:7" ht="33.75" x14ac:dyDescent="0.25">
      <c r="A406" s="13">
        <v>12764</v>
      </c>
      <c r="B406" s="14">
        <v>43410.661805555559</v>
      </c>
      <c r="C406" s="13" t="s">
        <v>10</v>
      </c>
      <c r="D406" s="13" t="str">
        <f>"DISPOSITIVI DI SOMMINISTRAZIONE, PRELIEVO E RACCOLTA (CIN A)"</f>
        <v>DISPOSITIVI DI SOMMINISTRAZIONE, PRELIEVO E RACCOLTA (CIN A)</v>
      </c>
      <c r="E406" s="13" t="str">
        <f>"F. MARINELLO DE PAOLI"</f>
        <v>F. MARINELLO DE PAOLI</v>
      </c>
      <c r="F406" s="13" t="s">
        <v>14</v>
      </c>
      <c r="G406" s="15">
        <v>290</v>
      </c>
    </row>
    <row r="407" spans="1:7" ht="22.5" x14ac:dyDescent="0.25">
      <c r="A407" s="13">
        <v>12765</v>
      </c>
      <c r="B407" s="14">
        <v>43410.661805555559</v>
      </c>
      <c r="C407" s="13" t="s">
        <v>10</v>
      </c>
      <c r="D407" s="13" t="str">
        <f>"DISPOSITIVI PER APPARATO CARDIOCIRCOLATORIO (C)"</f>
        <v>DISPOSITIVI PER APPARATO CARDIOCIRCOLATORIO (C)</v>
      </c>
      <c r="E407" s="13" t="str">
        <f>"EDWARDS LIFESCIENCES ITALIA SPA"</f>
        <v>EDWARDS LIFESCIENCES ITALIA SPA</v>
      </c>
      <c r="F407" s="13" t="s">
        <v>14</v>
      </c>
      <c r="G407" s="15">
        <v>478</v>
      </c>
    </row>
    <row r="408" spans="1:7" ht="22.5" x14ac:dyDescent="0.25">
      <c r="A408" s="13">
        <v>12766</v>
      </c>
      <c r="B408" s="14">
        <v>43410.661805555559</v>
      </c>
      <c r="C408" s="13" t="s">
        <v>10</v>
      </c>
      <c r="D408" s="13" t="str">
        <f>"FARMACI FILE F"</f>
        <v>FARMACI FILE F</v>
      </c>
      <c r="E408" s="13" t="str">
        <f>"ELI LILLY ITALIA SPA"</f>
        <v>ELI LILLY ITALIA SPA</v>
      </c>
      <c r="F408" s="13" t="s">
        <v>14</v>
      </c>
      <c r="G408" s="15">
        <v>8780.7999999999993</v>
      </c>
    </row>
    <row r="409" spans="1:7" ht="22.5" x14ac:dyDescent="0.25">
      <c r="A409" s="13">
        <v>12767</v>
      </c>
      <c r="B409" s="14">
        <v>43410.661805555559</v>
      </c>
      <c r="C409" s="13" t="s">
        <v>10</v>
      </c>
      <c r="D409" s="13" t="str">
        <f>"FARMACI FILE F"</f>
        <v>FARMACI FILE F</v>
      </c>
      <c r="E409" s="13" t="str">
        <f>"ELI LILLY ITALIA SPA"</f>
        <v>ELI LILLY ITALIA SPA</v>
      </c>
      <c r="F409" s="13" t="s">
        <v>14</v>
      </c>
      <c r="G409" s="15">
        <v>7543.8</v>
      </c>
    </row>
    <row r="410" spans="1:7" ht="22.5" x14ac:dyDescent="0.25">
      <c r="A410" s="13">
        <v>12768</v>
      </c>
      <c r="B410" s="14">
        <v>43410.661805555559</v>
      </c>
      <c r="C410" s="13" t="s">
        <v>10</v>
      </c>
      <c r="D410" s="13" t="str">
        <f>"MATERIALE DIAGNOSTICO (W)"</f>
        <v>MATERIALE DIAGNOSTICO (W)</v>
      </c>
      <c r="E410" s="13" t="str">
        <f>"DIAPATH SPA"</f>
        <v>DIAPATH SPA</v>
      </c>
      <c r="F410" s="13" t="s">
        <v>14</v>
      </c>
      <c r="G410" s="15">
        <v>19.8</v>
      </c>
    </row>
    <row r="411" spans="1:7" ht="22.5" x14ac:dyDescent="0.25">
      <c r="A411" s="13">
        <v>12769</v>
      </c>
      <c r="B411" s="14">
        <v>43410.661805555559</v>
      </c>
      <c r="C411" s="13" t="s">
        <v>10</v>
      </c>
      <c r="D411" s="13" t="str">
        <f>"MATERIALE DIAGNOSTICO (W)"</f>
        <v>MATERIALE DIAGNOSTICO (W)</v>
      </c>
      <c r="E411" s="13" t="str">
        <f>"DIAPATH SPA"</f>
        <v>DIAPATH SPA</v>
      </c>
      <c r="F411" s="13" t="s">
        <v>14</v>
      </c>
      <c r="G411" s="15">
        <v>1687.99</v>
      </c>
    </row>
    <row r="412" spans="1:7" ht="22.5" x14ac:dyDescent="0.25">
      <c r="A412" s="13">
        <v>12770</v>
      </c>
      <c r="B412" s="14">
        <v>43410.661805555559</v>
      </c>
      <c r="C412" s="13" t="s">
        <v>10</v>
      </c>
      <c r="D412" s="13" t="str">
        <f>"MATERIALE DIAGNOSTICO (W)"</f>
        <v>MATERIALE DIAGNOSTICO (W)</v>
      </c>
      <c r="E412" s="13" t="str">
        <f>"DIAPATH SPA"</f>
        <v>DIAPATH SPA</v>
      </c>
      <c r="F412" s="13" t="s">
        <v>14</v>
      </c>
      <c r="G412" s="15">
        <v>183.08</v>
      </c>
    </row>
    <row r="413" spans="1:7" ht="22.5" x14ac:dyDescent="0.25">
      <c r="A413" s="13">
        <v>12771</v>
      </c>
      <c r="B413" s="14">
        <v>43410.661805555559</v>
      </c>
      <c r="C413" s="13" t="s">
        <v>10</v>
      </c>
      <c r="D413" s="13" t="str">
        <f>"MATERIALE DIAGNOSTICO (W)"</f>
        <v>MATERIALE DIAGNOSTICO (W)</v>
      </c>
      <c r="E413" s="13" t="str">
        <f>"DYCLONE ITALIA SRL"</f>
        <v>DYCLONE ITALIA SRL</v>
      </c>
      <c r="F413" s="13" t="s">
        <v>14</v>
      </c>
      <c r="G413" s="15">
        <v>3760</v>
      </c>
    </row>
    <row r="414" spans="1:7" ht="22.5" x14ac:dyDescent="0.25">
      <c r="A414" s="13">
        <v>12772</v>
      </c>
      <c r="B414" s="14">
        <v>43410.661805555559</v>
      </c>
      <c r="C414" s="13" t="s">
        <v>10</v>
      </c>
      <c r="D414" s="13" t="str">
        <f>"MATERIALE PROTESICO"</f>
        <v>MATERIALE PROTESICO</v>
      </c>
      <c r="E414" s="13" t="str">
        <f>"DIAL MEDICALI SRL"</f>
        <v>DIAL MEDICALI SRL</v>
      </c>
      <c r="F414" s="13" t="s">
        <v>14</v>
      </c>
      <c r="G414" s="15">
        <v>420</v>
      </c>
    </row>
    <row r="415" spans="1:7" ht="22.5" x14ac:dyDescent="0.25">
      <c r="A415" s="13">
        <v>12773</v>
      </c>
      <c r="B415" s="14">
        <v>43410.661805555559</v>
      </c>
      <c r="C415" s="13" t="s">
        <v>10</v>
      </c>
      <c r="D415" s="13" t="str">
        <f>"MATERIALE PROTESICO"</f>
        <v>MATERIALE PROTESICO</v>
      </c>
      <c r="E415" s="13" t="str">
        <f>"EVOLUZIONI MEDICHE SRL"</f>
        <v>EVOLUZIONI MEDICHE SRL</v>
      </c>
      <c r="F415" s="13" t="s">
        <v>14</v>
      </c>
      <c r="G415" s="15">
        <v>947.76</v>
      </c>
    </row>
    <row r="416" spans="1:7" ht="33.75" x14ac:dyDescent="0.25">
      <c r="A416" s="13">
        <v>12774</v>
      </c>
      <c r="B416" s="14">
        <v>43410.661805555559</v>
      </c>
      <c r="C416" s="13" t="s">
        <v>10</v>
      </c>
      <c r="D416" s="13" t="str">
        <f>"PRESIDI MEDICO-CHIRURGICI GENERICI E AUSILI TECNICI PER DISABILI M"</f>
        <v>PRESIDI MEDICO-CHIRURGICI GENERICI E AUSILI TECNICI PER DISABILI M</v>
      </c>
      <c r="E416" s="13" t="str">
        <f>"EUROFARM SPA"</f>
        <v>EUROFARM SPA</v>
      </c>
      <c r="F416" s="13" t="s">
        <v>14</v>
      </c>
      <c r="G416" s="15">
        <v>168</v>
      </c>
    </row>
    <row r="417" spans="1:7" ht="33.75" x14ac:dyDescent="0.25">
      <c r="A417" s="13">
        <v>12775</v>
      </c>
      <c r="B417" s="14">
        <v>43410.661805555559</v>
      </c>
      <c r="C417" s="13" t="s">
        <v>10</v>
      </c>
      <c r="D417" s="13" t="str">
        <f>"PRESIDI MEDICO-CHIRURGICI GENERICI E AUSILI TECNICI PER DISABILI M"</f>
        <v>PRESIDI MEDICO-CHIRURGICI GENERICI E AUSILI TECNICI PER DISABILI M</v>
      </c>
      <c r="E417" s="13" t="str">
        <f>"FARMAC - ZABBAN SPA"</f>
        <v>FARMAC - ZABBAN SPA</v>
      </c>
      <c r="F417" s="13" t="s">
        <v>14</v>
      </c>
      <c r="G417" s="15">
        <v>273.2</v>
      </c>
    </row>
    <row r="418" spans="1:7" ht="33.75" x14ac:dyDescent="0.25">
      <c r="A418" s="13">
        <v>12776</v>
      </c>
      <c r="B418" s="14">
        <v>43410.661805555559</v>
      </c>
      <c r="C418" s="13" t="s">
        <v>10</v>
      </c>
      <c r="D418" s="13" t="str">
        <f>"PRESIDI MEDICO-CHIRURGICI GENERICI E AUSILI TECNICI PER DISABILI M"</f>
        <v>PRESIDI MEDICO-CHIRURGICI GENERICI E AUSILI TECNICI PER DISABILI M</v>
      </c>
      <c r="E418" s="13" t="str">
        <f>"FARMAC - ZABBAN SPA"</f>
        <v>FARMAC - ZABBAN SPA</v>
      </c>
      <c r="F418" s="13" t="s">
        <v>14</v>
      </c>
      <c r="G418" s="15">
        <v>563.4</v>
      </c>
    </row>
    <row r="419" spans="1:7" ht="33.75" x14ac:dyDescent="0.25">
      <c r="A419" s="13">
        <v>12777</v>
      </c>
      <c r="B419" s="14">
        <v>43410.661805555559</v>
      </c>
      <c r="C419" s="13" t="s">
        <v>10</v>
      </c>
      <c r="D419" s="13" t="str">
        <f>"PRESIDI MEDICO-CHIRURGICI GENERICI E AUSILI TECNICI PER DISABILI M"</f>
        <v>PRESIDI MEDICO-CHIRURGICI GENERICI E AUSILI TECNICI PER DISABILI M</v>
      </c>
      <c r="E419" s="13" t="str">
        <f>"FARMAC - ZABBAN SPA"</f>
        <v>FARMAC - ZABBAN SPA</v>
      </c>
      <c r="F419" s="13" t="s">
        <v>14</v>
      </c>
      <c r="G419" s="15">
        <v>563.4</v>
      </c>
    </row>
    <row r="420" spans="1:7" ht="22.5" x14ac:dyDescent="0.25">
      <c r="A420" s="13">
        <v>12778</v>
      </c>
      <c r="B420" s="14">
        <v>43410.661805555559</v>
      </c>
      <c r="C420" s="13" t="s">
        <v>10</v>
      </c>
      <c r="D420" s="13" t="str">
        <f>"PRESIDI MEDICO-CHIRURGICI SPECIALISTICI R"</f>
        <v>PRESIDI MEDICO-CHIRURGICI SPECIALISTICI R</v>
      </c>
      <c r="E420" s="13" t="str">
        <f>"DRAEGER MEDICAL ITALIA SPA a Socio Unico"</f>
        <v>DRAEGER MEDICAL ITALIA SPA a Socio Unico</v>
      </c>
      <c r="F420" s="13" t="s">
        <v>14</v>
      </c>
      <c r="G420" s="15">
        <v>842</v>
      </c>
    </row>
    <row r="421" spans="1:7" ht="22.5" x14ac:dyDescent="0.25">
      <c r="A421" s="13">
        <v>12779</v>
      </c>
      <c r="B421" s="14">
        <v>43410.661805555559</v>
      </c>
      <c r="C421" s="13" t="s">
        <v>10</v>
      </c>
      <c r="D421" s="13" t="str">
        <f>"PRODOTTI FARMACEUTICI CON AIC"</f>
        <v>PRODOTTI FARMACEUTICI CON AIC</v>
      </c>
      <c r="E421" s="13" t="str">
        <f>"FAR.G.IM. SRL"</f>
        <v>FAR.G.IM. SRL</v>
      </c>
      <c r="F421" s="13" t="s">
        <v>14</v>
      </c>
      <c r="G421" s="15">
        <v>905.2</v>
      </c>
    </row>
    <row r="422" spans="1:7" ht="22.5" x14ac:dyDescent="0.25">
      <c r="A422" s="13">
        <v>12780</v>
      </c>
      <c r="B422" s="14">
        <v>43410.661805555559</v>
      </c>
      <c r="C422" s="13" t="s">
        <v>10</v>
      </c>
      <c r="D422" s="13" t="str">
        <f>"PRODOTTI FARMACEUTICI SENZA AIC"</f>
        <v>PRODOTTI FARMACEUTICI SENZA AIC</v>
      </c>
      <c r="E422" s="13" t="str">
        <f>"FARMAC - ZABBAN SPA"</f>
        <v>FARMAC - ZABBAN SPA</v>
      </c>
      <c r="F422" s="13" t="s">
        <v>14</v>
      </c>
      <c r="G422" s="15">
        <v>109.2</v>
      </c>
    </row>
    <row r="423" spans="1:7" ht="22.5" x14ac:dyDescent="0.25">
      <c r="A423" s="13">
        <v>12781</v>
      </c>
      <c r="B423" s="14">
        <v>43410.661817129629</v>
      </c>
      <c r="C423" s="13" t="s">
        <v>10</v>
      </c>
      <c r="D423" s="13" t="str">
        <f>"ALTRI SERVIZI S.T."</f>
        <v>ALTRI SERVIZI S.T.</v>
      </c>
      <c r="E423" s="13" t="str">
        <f>"GARAVAGLIA DARIO - COLORIFICIO/FERRAMENTA"</f>
        <v>GARAVAGLIA DARIO - COLORIFICIO/FERRAMENTA</v>
      </c>
      <c r="F423" s="13" t="str">
        <f>"ALTRE SPESE PER SERV.NON SANITARI"</f>
        <v>ALTRE SPESE PER SERV.NON SANITARI</v>
      </c>
      <c r="G423" s="15">
        <v>1069.2</v>
      </c>
    </row>
    <row r="424" spans="1:7" ht="22.5" x14ac:dyDescent="0.25">
      <c r="A424" s="13">
        <v>12782</v>
      </c>
      <c r="B424" s="14">
        <v>43410.661817129629</v>
      </c>
      <c r="C424" s="13" t="s">
        <v>10</v>
      </c>
      <c r="D424" s="13" t="str">
        <f>"CANCELLERIA E SUPPORTI MECCANOGRAFICI"</f>
        <v>CANCELLERIA E SUPPORTI MECCANOGRAFICI</v>
      </c>
      <c r="E424" s="13" t="str">
        <f>"GECAL SPA"</f>
        <v>GECAL SPA</v>
      </c>
      <c r="F424" s="13" t="s">
        <v>14</v>
      </c>
      <c r="G424" s="15">
        <v>185.9</v>
      </c>
    </row>
    <row r="425" spans="1:7" ht="22.5" x14ac:dyDescent="0.25">
      <c r="A425" s="13">
        <v>12783</v>
      </c>
      <c r="B425" s="14">
        <v>43410.661817129629</v>
      </c>
      <c r="C425" s="13" t="s">
        <v>10</v>
      </c>
      <c r="D425" s="13" t="str">
        <f>"CANCELLERIA E SUPPORTI MECCANOGRAFICI"</f>
        <v>CANCELLERIA E SUPPORTI MECCANOGRAFICI</v>
      </c>
      <c r="E425" s="13" t="str">
        <f>"GECAL SPA"</f>
        <v>GECAL SPA</v>
      </c>
      <c r="F425" s="13" t="s">
        <v>14</v>
      </c>
      <c r="G425" s="15">
        <v>378</v>
      </c>
    </row>
    <row r="426" spans="1:7" ht="22.5" x14ac:dyDescent="0.25">
      <c r="A426" s="13">
        <v>12784</v>
      </c>
      <c r="B426" s="14">
        <v>43410.661817129629</v>
      </c>
      <c r="C426" s="13" t="s">
        <v>10</v>
      </c>
      <c r="D426" s="13" t="str">
        <f>"FARMACI FILE F"</f>
        <v>FARMACI FILE F</v>
      </c>
      <c r="E426" s="13" t="str">
        <f>"GLAXOSMITHKLINE SPA Unipersonale"</f>
        <v>GLAXOSMITHKLINE SPA Unipersonale</v>
      </c>
      <c r="F426" s="13" t="s">
        <v>14</v>
      </c>
      <c r="G426" s="15">
        <v>6620.04</v>
      </c>
    </row>
    <row r="427" spans="1:7" ht="22.5" x14ac:dyDescent="0.25">
      <c r="A427" s="13">
        <v>12785</v>
      </c>
      <c r="B427" s="14">
        <v>43410.661817129629</v>
      </c>
      <c r="C427" s="13" t="s">
        <v>10</v>
      </c>
      <c r="D427" s="13" t="str">
        <f>"FARMACI FILE F"</f>
        <v>FARMACI FILE F</v>
      </c>
      <c r="E427" s="13" t="str">
        <f>"GLAXOSMITHKLINE SPA Unipersonale"</f>
        <v>GLAXOSMITHKLINE SPA Unipersonale</v>
      </c>
      <c r="F427" s="13" t="s">
        <v>14</v>
      </c>
      <c r="G427" s="15">
        <v>3100.98</v>
      </c>
    </row>
    <row r="428" spans="1:7" ht="22.5" x14ac:dyDescent="0.25">
      <c r="A428" s="13">
        <v>12786</v>
      </c>
      <c r="B428" s="14">
        <v>43410.661817129629</v>
      </c>
      <c r="C428" s="13" t="s">
        <v>10</v>
      </c>
      <c r="D428" s="13" t="str">
        <f>"FARMACI FILE F"</f>
        <v>FARMACI FILE F</v>
      </c>
      <c r="E428" s="13" t="str">
        <f>"GLAXOSMITHKLINE SPA Unipersonale"</f>
        <v>GLAXOSMITHKLINE SPA Unipersonale</v>
      </c>
      <c r="F428" s="13" t="s">
        <v>14</v>
      </c>
      <c r="G428" s="15">
        <v>4843.07</v>
      </c>
    </row>
    <row r="429" spans="1:7" ht="22.5" x14ac:dyDescent="0.25">
      <c r="A429" s="13">
        <v>12787</v>
      </c>
      <c r="B429" s="14">
        <v>43410.661817129629</v>
      </c>
      <c r="C429" s="13" t="s">
        <v>10</v>
      </c>
      <c r="D429" s="13" t="str">
        <f t="shared" ref="D429:D436" si="21">"MATERIALE PROTESICO"</f>
        <v>MATERIALE PROTESICO</v>
      </c>
      <c r="E429" s="13" t="str">
        <f>"FIN - CERAMICA FAENZA SPA con Socio Unico"</f>
        <v>FIN - CERAMICA FAENZA SPA con Socio Unico</v>
      </c>
      <c r="F429" s="13" t="s">
        <v>14</v>
      </c>
      <c r="G429" s="15">
        <v>228</v>
      </c>
    </row>
    <row r="430" spans="1:7" ht="22.5" x14ac:dyDescent="0.25">
      <c r="A430" s="13">
        <v>12788</v>
      </c>
      <c r="B430" s="14">
        <v>43410.661817129629</v>
      </c>
      <c r="C430" s="13" t="s">
        <v>10</v>
      </c>
      <c r="D430" s="13" t="str">
        <f t="shared" si="21"/>
        <v>MATERIALE PROTESICO</v>
      </c>
      <c r="E430" s="13" t="str">
        <f>"FIN - CERAMICA FAENZA SPA con Socio Unico"</f>
        <v>FIN - CERAMICA FAENZA SPA con Socio Unico</v>
      </c>
      <c r="F430" s="13" t="s">
        <v>14</v>
      </c>
      <c r="G430" s="15">
        <v>450</v>
      </c>
    </row>
    <row r="431" spans="1:7" ht="22.5" x14ac:dyDescent="0.25">
      <c r="A431" s="13">
        <v>12789</v>
      </c>
      <c r="B431" s="14">
        <v>43410.661817129629</v>
      </c>
      <c r="C431" s="13" t="s">
        <v>10</v>
      </c>
      <c r="D431" s="13" t="str">
        <f t="shared" si="21"/>
        <v>MATERIALE PROTESICO</v>
      </c>
      <c r="E431" s="13" t="str">
        <f>"FIN - CERAMICA FAENZA SPA con Socio Unico"</f>
        <v>FIN - CERAMICA FAENZA SPA con Socio Unico</v>
      </c>
      <c r="F431" s="13" t="s">
        <v>14</v>
      </c>
      <c r="G431" s="15">
        <v>930.07</v>
      </c>
    </row>
    <row r="432" spans="1:7" ht="22.5" x14ac:dyDescent="0.25">
      <c r="A432" s="13">
        <v>12790</v>
      </c>
      <c r="B432" s="14">
        <v>43410.661817129629</v>
      </c>
      <c r="C432" s="13" t="s">
        <v>10</v>
      </c>
      <c r="D432" s="13" t="str">
        <f t="shared" si="21"/>
        <v>MATERIALE PROTESICO</v>
      </c>
      <c r="E432" s="13" t="str">
        <f>"FIN - CERAMICA FAENZA SPA con Socio Unico"</f>
        <v>FIN - CERAMICA FAENZA SPA con Socio Unico</v>
      </c>
      <c r="F432" s="13" t="s">
        <v>14</v>
      </c>
      <c r="G432" s="15">
        <v>228</v>
      </c>
    </row>
    <row r="433" spans="1:7" ht="22.5" x14ac:dyDescent="0.25">
      <c r="A433" s="13">
        <v>12791</v>
      </c>
      <c r="B433" s="14">
        <v>43410.661817129629</v>
      </c>
      <c r="C433" s="13" t="s">
        <v>10</v>
      </c>
      <c r="D433" s="13" t="str">
        <f t="shared" si="21"/>
        <v>MATERIALE PROTESICO</v>
      </c>
      <c r="E433" s="13" t="str">
        <f>"FIN - CERAMICA FAENZA SPA con Socio Unico"</f>
        <v>FIN - CERAMICA FAENZA SPA con Socio Unico</v>
      </c>
      <c r="F433" s="13" t="s">
        <v>14</v>
      </c>
      <c r="G433" s="15">
        <v>228</v>
      </c>
    </row>
    <row r="434" spans="1:7" ht="22.5" x14ac:dyDescent="0.25">
      <c r="A434" s="13">
        <v>12792</v>
      </c>
      <c r="B434" s="14">
        <v>43410.661817129629</v>
      </c>
      <c r="C434" s="13" t="s">
        <v>10</v>
      </c>
      <c r="D434" s="13" t="str">
        <f t="shared" si="21"/>
        <v>MATERIALE PROTESICO</v>
      </c>
      <c r="E434" s="13" t="str">
        <f>"GEISTLICH BIOMATERIALS ITALIA SRL a Socio Unico"</f>
        <v>GEISTLICH BIOMATERIALS ITALIA SRL a Socio Unico</v>
      </c>
      <c r="F434" s="13" t="s">
        <v>14</v>
      </c>
      <c r="G434" s="15">
        <v>531</v>
      </c>
    </row>
    <row r="435" spans="1:7" ht="22.5" x14ac:dyDescent="0.25">
      <c r="A435" s="13">
        <v>12793</v>
      </c>
      <c r="B435" s="14">
        <v>43410.661817129629</v>
      </c>
      <c r="C435" s="13" t="s">
        <v>10</v>
      </c>
      <c r="D435" s="13" t="str">
        <f t="shared" si="21"/>
        <v>MATERIALE PROTESICO</v>
      </c>
      <c r="E435" s="13" t="str">
        <f>"GEISTLICH BIOMATERIALS ITALIA SRL a Socio Unico"</f>
        <v>GEISTLICH BIOMATERIALS ITALIA SRL a Socio Unico</v>
      </c>
      <c r="F435" s="13" t="s">
        <v>14</v>
      </c>
      <c r="G435" s="15">
        <v>432</v>
      </c>
    </row>
    <row r="436" spans="1:7" ht="22.5" x14ac:dyDescent="0.25">
      <c r="A436" s="13">
        <v>12794</v>
      </c>
      <c r="B436" s="14">
        <v>43410.661817129629</v>
      </c>
      <c r="C436" s="13" t="s">
        <v>10</v>
      </c>
      <c r="D436" s="13" t="str">
        <f t="shared" si="21"/>
        <v>MATERIALE PROTESICO</v>
      </c>
      <c r="E436" s="13" t="str">
        <f>"GLOBUS MEDICAL ITALY SRL"</f>
        <v>GLOBUS MEDICAL ITALY SRL</v>
      </c>
      <c r="F436" s="13" t="s">
        <v>14</v>
      </c>
      <c r="G436" s="15">
        <v>4300</v>
      </c>
    </row>
    <row r="437" spans="1:7" ht="22.5" x14ac:dyDescent="0.25">
      <c r="A437" s="13">
        <v>12795</v>
      </c>
      <c r="B437" s="14">
        <v>43410.661817129629</v>
      </c>
      <c r="C437" s="13" t="s">
        <v>10</v>
      </c>
      <c r="D437" s="13" t="str">
        <f>"MATERIALI DI GUARDAROBA E CONVIVENZA"</f>
        <v>MATERIALI DI GUARDAROBA E CONVIVENZA</v>
      </c>
      <c r="E437" s="13" t="str">
        <f>"GECAL SPA"</f>
        <v>GECAL SPA</v>
      </c>
      <c r="F437" s="13" t="s">
        <v>14</v>
      </c>
      <c r="G437" s="15">
        <v>81.52</v>
      </c>
    </row>
    <row r="438" spans="1:7" ht="33.75" x14ac:dyDescent="0.25">
      <c r="A438" s="13">
        <v>12796</v>
      </c>
      <c r="B438" s="14">
        <v>43410.661817129629</v>
      </c>
      <c r="C438" s="13" t="s">
        <v>10</v>
      </c>
      <c r="D438" s="13" t="str">
        <f t="shared" ref="D438:D443" si="22">"PRESIDI MEDICO-CHIRURGICI GENERICI E AUSILI TECNICI PER DISABILI M"</f>
        <v>PRESIDI MEDICO-CHIRURGICI GENERICI E AUSILI TECNICI PER DISABILI M</v>
      </c>
      <c r="E438" s="13" t="str">
        <f>"FARMAC - ZABBAN SPA"</f>
        <v>FARMAC - ZABBAN SPA</v>
      </c>
      <c r="F438" s="13" t="s">
        <v>14</v>
      </c>
      <c r="G438" s="15">
        <v>1504.96</v>
      </c>
    </row>
    <row r="439" spans="1:7" ht="33.75" x14ac:dyDescent="0.25">
      <c r="A439" s="13">
        <v>12797</v>
      </c>
      <c r="B439" s="14">
        <v>43410.661817129629</v>
      </c>
      <c r="C439" s="13" t="s">
        <v>10</v>
      </c>
      <c r="D439" s="13" t="str">
        <f t="shared" si="22"/>
        <v>PRESIDI MEDICO-CHIRURGICI GENERICI E AUSILI TECNICI PER DISABILI M</v>
      </c>
      <c r="E439" s="13" t="str">
        <f>"FARMAC - ZABBAN SPA"</f>
        <v>FARMAC - ZABBAN SPA</v>
      </c>
      <c r="F439" s="13" t="s">
        <v>14</v>
      </c>
      <c r="G439" s="15">
        <v>597.5</v>
      </c>
    </row>
    <row r="440" spans="1:7" ht="33.75" x14ac:dyDescent="0.25">
      <c r="A440" s="13">
        <v>12798</v>
      </c>
      <c r="B440" s="14">
        <v>43410.661817129629</v>
      </c>
      <c r="C440" s="13" t="s">
        <v>10</v>
      </c>
      <c r="D440" s="13" t="str">
        <f t="shared" si="22"/>
        <v>PRESIDI MEDICO-CHIRURGICI GENERICI E AUSILI TECNICI PER DISABILI M</v>
      </c>
      <c r="E440" s="13" t="str">
        <f>"FARMAC - ZABBAN SPA"</f>
        <v>FARMAC - ZABBAN SPA</v>
      </c>
      <c r="F440" s="13" t="s">
        <v>14</v>
      </c>
      <c r="G440" s="15">
        <v>890.24</v>
      </c>
    </row>
    <row r="441" spans="1:7" ht="33.75" x14ac:dyDescent="0.25">
      <c r="A441" s="13">
        <v>12799</v>
      </c>
      <c r="B441" s="14">
        <v>43410.661817129629</v>
      </c>
      <c r="C441" s="13" t="s">
        <v>10</v>
      </c>
      <c r="D441" s="13" t="str">
        <f t="shared" si="22"/>
        <v>PRESIDI MEDICO-CHIRURGICI GENERICI E AUSILI TECNICI PER DISABILI M</v>
      </c>
      <c r="E441" s="13" t="str">
        <f>"FARMAC - ZABBAN SPA"</f>
        <v>FARMAC - ZABBAN SPA</v>
      </c>
      <c r="F441" s="13" t="s">
        <v>14</v>
      </c>
      <c r="G441" s="15">
        <v>1890.4</v>
      </c>
    </row>
    <row r="442" spans="1:7" ht="33.75" x14ac:dyDescent="0.25">
      <c r="A442" s="13">
        <v>12800</v>
      </c>
      <c r="B442" s="14">
        <v>43410.661817129629</v>
      </c>
      <c r="C442" s="13" t="s">
        <v>10</v>
      </c>
      <c r="D442" s="13" t="str">
        <f t="shared" si="22"/>
        <v>PRESIDI MEDICO-CHIRURGICI GENERICI E AUSILI TECNICI PER DISABILI M</v>
      </c>
      <c r="E442" s="13" t="str">
        <f>"FARMAC - ZABBAN SPA"</f>
        <v>FARMAC - ZABBAN SPA</v>
      </c>
      <c r="F442" s="13" t="s">
        <v>14</v>
      </c>
      <c r="G442" s="15">
        <v>234</v>
      </c>
    </row>
    <row r="443" spans="1:7" ht="33.75" x14ac:dyDescent="0.25">
      <c r="A443" s="13">
        <v>12801</v>
      </c>
      <c r="B443" s="14">
        <v>43410.661817129629</v>
      </c>
      <c r="C443" s="13" t="s">
        <v>10</v>
      </c>
      <c r="D443" s="13" t="str">
        <f t="shared" si="22"/>
        <v>PRESIDI MEDICO-CHIRURGICI GENERICI E AUSILI TECNICI PER DISABILI M</v>
      </c>
      <c r="E443" s="13" t="str">
        <f>"FRA PRODUCTION SPA"</f>
        <v>FRA PRODUCTION SPA</v>
      </c>
      <c r="F443" s="13" t="s">
        <v>14</v>
      </c>
      <c r="G443" s="15">
        <v>268.39999999999998</v>
      </c>
    </row>
    <row r="444" spans="1:7" ht="22.5" x14ac:dyDescent="0.25">
      <c r="A444" s="13">
        <v>12802</v>
      </c>
      <c r="B444" s="14">
        <v>43410.661817129629</v>
      </c>
      <c r="C444" s="13" t="s">
        <v>10</v>
      </c>
      <c r="D444" s="13" t="str">
        <f>"PRODOTTI FARMACEUTICI CON AIC"</f>
        <v>PRODOTTI FARMACEUTICI CON AIC</v>
      </c>
      <c r="E444" s="13" t="str">
        <f>"FISIOPHARMA SRL Uninominale"</f>
        <v>FISIOPHARMA SRL Uninominale</v>
      </c>
      <c r="F444" s="13" t="s">
        <v>14</v>
      </c>
      <c r="G444" s="15">
        <v>480</v>
      </c>
    </row>
    <row r="445" spans="1:7" ht="22.5" x14ac:dyDescent="0.25">
      <c r="A445" s="13">
        <v>12803</v>
      </c>
      <c r="B445" s="14">
        <v>43410.661817129629</v>
      </c>
      <c r="C445" s="13" t="s">
        <v>10</v>
      </c>
      <c r="D445" s="13" t="str">
        <f>"PRODOTTI FARMACEUTICI CON AIC"</f>
        <v>PRODOTTI FARMACEUTICI CON AIC</v>
      </c>
      <c r="E445" s="13" t="str">
        <f>"FRESENIUS KABI ITALIA SRL con Socio Unico"</f>
        <v>FRESENIUS KABI ITALIA SRL con Socio Unico</v>
      </c>
      <c r="F445" s="13" t="s">
        <v>14</v>
      </c>
      <c r="G445" s="15">
        <v>3415.4</v>
      </c>
    </row>
    <row r="446" spans="1:7" ht="22.5" x14ac:dyDescent="0.25">
      <c r="A446" s="13">
        <v>12804</v>
      </c>
      <c r="B446" s="14">
        <v>43410.661817129629</v>
      </c>
      <c r="C446" s="13" t="s">
        <v>10</v>
      </c>
      <c r="D446" s="13" t="str">
        <f>"PRODOTTI FARMACEUTICI CON AIC"</f>
        <v>PRODOTTI FARMACEUTICI CON AIC</v>
      </c>
      <c r="E446" s="13" t="str">
        <f>"GLAXOSMITHKLINE SPA Unipersonale"</f>
        <v>GLAXOSMITHKLINE SPA Unipersonale</v>
      </c>
      <c r="F446" s="13" t="s">
        <v>14</v>
      </c>
      <c r="G446" s="15">
        <v>174.89</v>
      </c>
    </row>
    <row r="447" spans="1:7" ht="22.5" x14ac:dyDescent="0.25">
      <c r="A447" s="13">
        <v>12805</v>
      </c>
      <c r="B447" s="14">
        <v>43410.661817129629</v>
      </c>
      <c r="C447" s="13" t="s">
        <v>10</v>
      </c>
      <c r="D447" s="13" t="str">
        <f>"PRODOTTI FARMACEUTICI CON AIC"</f>
        <v>PRODOTTI FARMACEUTICI CON AIC</v>
      </c>
      <c r="E447" s="13" t="str">
        <f>"GLORIA MED PHARMA SRL"</f>
        <v>GLORIA MED PHARMA SRL</v>
      </c>
      <c r="F447" s="13" t="s">
        <v>14</v>
      </c>
      <c r="G447" s="15">
        <v>363.7</v>
      </c>
    </row>
    <row r="448" spans="1:7" ht="22.5" x14ac:dyDescent="0.25">
      <c r="A448" s="13">
        <v>12806</v>
      </c>
      <c r="B448" s="14">
        <v>43410.661828703705</v>
      </c>
      <c r="C448" s="13" t="s">
        <v>10</v>
      </c>
      <c r="D448" s="13" t="str">
        <f>"ALTRI SERVIZI S.T."</f>
        <v>ALTRI SERVIZI S.T.</v>
      </c>
      <c r="E448" s="13" t="str">
        <f>"GNODI SERVICE SRL con Socio Unico"</f>
        <v>GNODI SERVICE SRL con Socio Unico</v>
      </c>
      <c r="F448" s="13" t="str">
        <f>"ALTRE SPESE PER SERV.NON SANITARI"</f>
        <v>ALTRE SPESE PER SERV.NON SANITARI</v>
      </c>
      <c r="G448" s="15">
        <v>642.52</v>
      </c>
    </row>
    <row r="449" spans="1:7" ht="22.5" x14ac:dyDescent="0.25">
      <c r="A449" s="13">
        <v>12807</v>
      </c>
      <c r="B449" s="14">
        <v>43410.661828703705</v>
      </c>
      <c r="C449" s="13" t="s">
        <v>10</v>
      </c>
      <c r="D449" s="13" t="str">
        <f t="shared" ref="D449:D458" si="23">"CANONI NOLEGGIO APPARECCHIATURE SANITARIE"</f>
        <v>CANONI NOLEGGIO APPARECCHIATURE SANITARIE</v>
      </c>
      <c r="E449" s="13" t="str">
        <f t="shared" ref="E449:E458" si="24">"INSTRUMENTATION LABORATORY SPA"</f>
        <v>INSTRUMENTATION LABORATORY SPA</v>
      </c>
      <c r="F449" s="13" t="s">
        <v>14</v>
      </c>
      <c r="G449" s="15">
        <v>166.65</v>
      </c>
    </row>
    <row r="450" spans="1:7" ht="22.5" x14ac:dyDescent="0.25">
      <c r="A450" s="13">
        <v>12808</v>
      </c>
      <c r="B450" s="14">
        <v>43410.661828703705</v>
      </c>
      <c r="C450" s="13" t="s">
        <v>10</v>
      </c>
      <c r="D450" s="13" t="str">
        <f t="shared" si="23"/>
        <v>CANONI NOLEGGIO APPARECCHIATURE SANITARIE</v>
      </c>
      <c r="E450" s="13" t="str">
        <f t="shared" si="24"/>
        <v>INSTRUMENTATION LABORATORY SPA</v>
      </c>
      <c r="F450" s="13" t="s">
        <v>14</v>
      </c>
      <c r="G450" s="15">
        <v>166.65</v>
      </c>
    </row>
    <row r="451" spans="1:7" ht="22.5" x14ac:dyDescent="0.25">
      <c r="A451" s="13">
        <v>12809</v>
      </c>
      <c r="B451" s="14">
        <v>43410.661828703705</v>
      </c>
      <c r="C451" s="13" t="s">
        <v>10</v>
      </c>
      <c r="D451" s="13" t="str">
        <f t="shared" si="23"/>
        <v>CANONI NOLEGGIO APPARECCHIATURE SANITARIE</v>
      </c>
      <c r="E451" s="13" t="str">
        <f t="shared" si="24"/>
        <v>INSTRUMENTATION LABORATORY SPA</v>
      </c>
      <c r="F451" s="13" t="s">
        <v>14</v>
      </c>
      <c r="G451" s="15">
        <v>333.3</v>
      </c>
    </row>
    <row r="452" spans="1:7" ht="22.5" x14ac:dyDescent="0.25">
      <c r="A452" s="13">
        <v>12810</v>
      </c>
      <c r="B452" s="14">
        <v>43410.661828703705</v>
      </c>
      <c r="C452" s="13" t="s">
        <v>10</v>
      </c>
      <c r="D452" s="13" t="str">
        <f t="shared" si="23"/>
        <v>CANONI NOLEGGIO APPARECCHIATURE SANITARIE</v>
      </c>
      <c r="E452" s="13" t="str">
        <f t="shared" si="24"/>
        <v>INSTRUMENTATION LABORATORY SPA</v>
      </c>
      <c r="F452" s="13" t="s">
        <v>14</v>
      </c>
      <c r="G452" s="15">
        <v>1230</v>
      </c>
    </row>
    <row r="453" spans="1:7" ht="22.5" x14ac:dyDescent="0.25">
      <c r="A453" s="13">
        <v>12811</v>
      </c>
      <c r="B453" s="14">
        <v>43410.661828703705</v>
      </c>
      <c r="C453" s="13" t="s">
        <v>10</v>
      </c>
      <c r="D453" s="13" t="str">
        <f t="shared" si="23"/>
        <v>CANONI NOLEGGIO APPARECCHIATURE SANITARIE</v>
      </c>
      <c r="E453" s="13" t="str">
        <f t="shared" si="24"/>
        <v>INSTRUMENTATION LABORATORY SPA</v>
      </c>
      <c r="F453" s="13" t="s">
        <v>14</v>
      </c>
      <c r="G453" s="15">
        <v>615</v>
      </c>
    </row>
    <row r="454" spans="1:7" ht="22.5" x14ac:dyDescent="0.25">
      <c r="A454" s="13">
        <v>12812</v>
      </c>
      <c r="B454" s="14">
        <v>43410.661828703705</v>
      </c>
      <c r="C454" s="13" t="s">
        <v>10</v>
      </c>
      <c r="D454" s="13" t="str">
        <f t="shared" si="23"/>
        <v>CANONI NOLEGGIO APPARECCHIATURE SANITARIE</v>
      </c>
      <c r="E454" s="13" t="str">
        <f t="shared" si="24"/>
        <v>INSTRUMENTATION LABORATORY SPA</v>
      </c>
      <c r="F454" s="13" t="s">
        <v>14</v>
      </c>
      <c r="G454" s="15">
        <v>615</v>
      </c>
    </row>
    <row r="455" spans="1:7" ht="22.5" x14ac:dyDescent="0.25">
      <c r="A455" s="13">
        <v>12813</v>
      </c>
      <c r="B455" s="14">
        <v>43410.661828703705</v>
      </c>
      <c r="C455" s="13" t="s">
        <v>10</v>
      </c>
      <c r="D455" s="13" t="str">
        <f t="shared" si="23"/>
        <v>CANONI NOLEGGIO APPARECCHIATURE SANITARIE</v>
      </c>
      <c r="E455" s="13" t="str">
        <f t="shared" si="24"/>
        <v>INSTRUMENTATION LABORATORY SPA</v>
      </c>
      <c r="F455" s="13" t="s">
        <v>14</v>
      </c>
      <c r="G455" s="15">
        <v>166.65</v>
      </c>
    </row>
    <row r="456" spans="1:7" ht="22.5" x14ac:dyDescent="0.25">
      <c r="A456" s="13">
        <v>12814</v>
      </c>
      <c r="B456" s="14">
        <v>43410.661828703705</v>
      </c>
      <c r="C456" s="13" t="s">
        <v>10</v>
      </c>
      <c r="D456" s="13" t="str">
        <f t="shared" si="23"/>
        <v>CANONI NOLEGGIO APPARECCHIATURE SANITARIE</v>
      </c>
      <c r="E456" s="13" t="str">
        <f t="shared" si="24"/>
        <v>INSTRUMENTATION LABORATORY SPA</v>
      </c>
      <c r="F456" s="13" t="s">
        <v>14</v>
      </c>
      <c r="G456" s="15">
        <v>615</v>
      </c>
    </row>
    <row r="457" spans="1:7" ht="22.5" x14ac:dyDescent="0.25">
      <c r="A457" s="13">
        <v>12815</v>
      </c>
      <c r="B457" s="14">
        <v>43410.661828703705</v>
      </c>
      <c r="C457" s="13" t="s">
        <v>10</v>
      </c>
      <c r="D457" s="13" t="str">
        <f t="shared" si="23"/>
        <v>CANONI NOLEGGIO APPARECCHIATURE SANITARIE</v>
      </c>
      <c r="E457" s="13" t="str">
        <f t="shared" si="24"/>
        <v>INSTRUMENTATION LABORATORY SPA</v>
      </c>
      <c r="F457" s="13" t="s">
        <v>14</v>
      </c>
      <c r="G457" s="15">
        <v>615</v>
      </c>
    </row>
    <row r="458" spans="1:7" ht="22.5" x14ac:dyDescent="0.25">
      <c r="A458" s="13">
        <v>12816</v>
      </c>
      <c r="B458" s="14">
        <v>43410.661828703705</v>
      </c>
      <c r="C458" s="13" t="s">
        <v>10</v>
      </c>
      <c r="D458" s="13" t="str">
        <f t="shared" si="23"/>
        <v>CANONI NOLEGGIO APPARECCHIATURE SANITARIE</v>
      </c>
      <c r="E458" s="13" t="str">
        <f t="shared" si="24"/>
        <v>INSTRUMENTATION LABORATORY SPA</v>
      </c>
      <c r="F458" s="13" t="s">
        <v>14</v>
      </c>
      <c r="G458" s="15">
        <v>166.65</v>
      </c>
    </row>
    <row r="459" spans="1:7" ht="22.5" x14ac:dyDescent="0.25">
      <c r="A459" s="13">
        <v>12817</v>
      </c>
      <c r="B459" s="14">
        <v>43410.661828703705</v>
      </c>
      <c r="C459" s="13" t="s">
        <v>11</v>
      </c>
      <c r="D459" s="13" t="str">
        <f>"MANUTENZIONE ALTRI BENI ST"</f>
        <v>MANUTENZIONE ALTRI BENI ST</v>
      </c>
      <c r="E459" s="13" t="str">
        <f>"GNODI SERVICE SRL con Socio Unico"</f>
        <v>GNODI SERVICE SRL con Socio Unico</v>
      </c>
      <c r="F459" s="13" t="s">
        <v>22</v>
      </c>
      <c r="G459" s="15">
        <v>7446.03</v>
      </c>
    </row>
    <row r="460" spans="1:7" ht="22.5" x14ac:dyDescent="0.25">
      <c r="A460" s="13">
        <v>12818</v>
      </c>
      <c r="B460" s="14">
        <v>43410.661828703705</v>
      </c>
      <c r="C460" s="13" t="s">
        <v>10</v>
      </c>
      <c r="D460" s="13" t="str">
        <f t="shared" ref="D460:D471" si="25">"MATERIALE DIAGNOSTICO (W)"</f>
        <v>MATERIALE DIAGNOSTICO (W)</v>
      </c>
      <c r="E460" s="13" t="str">
        <f t="shared" ref="E460:E471" si="26">"INSTRUMENTATION LABORATORY SPA"</f>
        <v>INSTRUMENTATION LABORATORY SPA</v>
      </c>
      <c r="F460" s="13" t="s">
        <v>14</v>
      </c>
      <c r="G460" s="15">
        <v>640</v>
      </c>
    </row>
    <row r="461" spans="1:7" ht="22.5" x14ac:dyDescent="0.25">
      <c r="A461" s="13">
        <v>12819</v>
      </c>
      <c r="B461" s="14">
        <v>43410.661828703705</v>
      </c>
      <c r="C461" s="13" t="s">
        <v>10</v>
      </c>
      <c r="D461" s="13" t="str">
        <f t="shared" si="25"/>
        <v>MATERIALE DIAGNOSTICO (W)</v>
      </c>
      <c r="E461" s="13" t="str">
        <f t="shared" si="26"/>
        <v>INSTRUMENTATION LABORATORY SPA</v>
      </c>
      <c r="F461" s="13" t="s">
        <v>14</v>
      </c>
      <c r="G461" s="15">
        <v>24</v>
      </c>
    </row>
    <row r="462" spans="1:7" ht="22.5" x14ac:dyDescent="0.25">
      <c r="A462" s="13">
        <v>12820</v>
      </c>
      <c r="B462" s="14">
        <v>43410.661828703705</v>
      </c>
      <c r="C462" s="13" t="s">
        <v>10</v>
      </c>
      <c r="D462" s="13" t="str">
        <f t="shared" si="25"/>
        <v>MATERIALE DIAGNOSTICO (W)</v>
      </c>
      <c r="E462" s="13" t="str">
        <f t="shared" si="26"/>
        <v>INSTRUMENTATION LABORATORY SPA</v>
      </c>
      <c r="F462" s="13" t="s">
        <v>14</v>
      </c>
      <c r="G462" s="15">
        <v>12</v>
      </c>
    </row>
    <row r="463" spans="1:7" ht="22.5" x14ac:dyDescent="0.25">
      <c r="A463" s="13">
        <v>12821</v>
      </c>
      <c r="B463" s="14">
        <v>43410.661828703705</v>
      </c>
      <c r="C463" s="13" t="s">
        <v>10</v>
      </c>
      <c r="D463" s="13" t="str">
        <f t="shared" si="25"/>
        <v>MATERIALE DIAGNOSTICO (W)</v>
      </c>
      <c r="E463" s="13" t="str">
        <f t="shared" si="26"/>
        <v>INSTRUMENTATION LABORATORY SPA</v>
      </c>
      <c r="F463" s="13" t="s">
        <v>14</v>
      </c>
      <c r="G463" s="15">
        <v>640</v>
      </c>
    </row>
    <row r="464" spans="1:7" ht="22.5" x14ac:dyDescent="0.25">
      <c r="A464" s="13">
        <v>12822</v>
      </c>
      <c r="B464" s="14">
        <v>43410.661828703705</v>
      </c>
      <c r="C464" s="13" t="s">
        <v>10</v>
      </c>
      <c r="D464" s="13" t="str">
        <f t="shared" si="25"/>
        <v>MATERIALE DIAGNOSTICO (W)</v>
      </c>
      <c r="E464" s="13" t="str">
        <f t="shared" si="26"/>
        <v>INSTRUMENTATION LABORATORY SPA</v>
      </c>
      <c r="F464" s="13" t="s">
        <v>14</v>
      </c>
      <c r="G464" s="15">
        <v>960</v>
      </c>
    </row>
    <row r="465" spans="1:7" ht="22.5" x14ac:dyDescent="0.25">
      <c r="A465" s="13">
        <v>12823</v>
      </c>
      <c r="B465" s="14">
        <v>43410.661828703705</v>
      </c>
      <c r="C465" s="13" t="s">
        <v>10</v>
      </c>
      <c r="D465" s="13" t="str">
        <f t="shared" si="25"/>
        <v>MATERIALE DIAGNOSTICO (W)</v>
      </c>
      <c r="E465" s="13" t="str">
        <f t="shared" si="26"/>
        <v>INSTRUMENTATION LABORATORY SPA</v>
      </c>
      <c r="F465" s="13" t="s">
        <v>14</v>
      </c>
      <c r="G465" s="15">
        <v>960</v>
      </c>
    </row>
    <row r="466" spans="1:7" ht="22.5" x14ac:dyDescent="0.25">
      <c r="A466" s="13">
        <v>12824</v>
      </c>
      <c r="B466" s="14">
        <v>43410.661828703705</v>
      </c>
      <c r="C466" s="13" t="s">
        <v>10</v>
      </c>
      <c r="D466" s="13" t="str">
        <f t="shared" si="25"/>
        <v>MATERIALE DIAGNOSTICO (W)</v>
      </c>
      <c r="E466" s="13" t="str">
        <f t="shared" si="26"/>
        <v>INSTRUMENTATION LABORATORY SPA</v>
      </c>
      <c r="F466" s="13" t="s">
        <v>14</v>
      </c>
      <c r="G466" s="15">
        <v>640</v>
      </c>
    </row>
    <row r="467" spans="1:7" ht="22.5" x14ac:dyDescent="0.25">
      <c r="A467" s="13">
        <v>12825</v>
      </c>
      <c r="B467" s="14">
        <v>43410.661828703705</v>
      </c>
      <c r="C467" s="13" t="s">
        <v>10</v>
      </c>
      <c r="D467" s="13" t="str">
        <f t="shared" si="25"/>
        <v>MATERIALE DIAGNOSTICO (W)</v>
      </c>
      <c r="E467" s="13" t="str">
        <f t="shared" si="26"/>
        <v>INSTRUMENTATION LABORATORY SPA</v>
      </c>
      <c r="F467" s="13" t="s">
        <v>14</v>
      </c>
      <c r="G467" s="15">
        <v>24</v>
      </c>
    </row>
    <row r="468" spans="1:7" ht="22.5" x14ac:dyDescent="0.25">
      <c r="A468" s="13">
        <v>12826</v>
      </c>
      <c r="B468" s="14">
        <v>43410.661828703705</v>
      </c>
      <c r="C468" s="13" t="s">
        <v>10</v>
      </c>
      <c r="D468" s="13" t="str">
        <f t="shared" si="25"/>
        <v>MATERIALE DIAGNOSTICO (W)</v>
      </c>
      <c r="E468" s="13" t="str">
        <f t="shared" si="26"/>
        <v>INSTRUMENTATION LABORATORY SPA</v>
      </c>
      <c r="F468" s="13" t="s">
        <v>14</v>
      </c>
      <c r="G468" s="15">
        <v>12</v>
      </c>
    </row>
    <row r="469" spans="1:7" ht="22.5" x14ac:dyDescent="0.25">
      <c r="A469" s="13">
        <v>12827</v>
      </c>
      <c r="B469" s="14">
        <v>43410.661828703705</v>
      </c>
      <c r="C469" s="13" t="s">
        <v>10</v>
      </c>
      <c r="D469" s="13" t="str">
        <f t="shared" si="25"/>
        <v>MATERIALE DIAGNOSTICO (W)</v>
      </c>
      <c r="E469" s="13" t="str">
        <f t="shared" si="26"/>
        <v>INSTRUMENTATION LABORATORY SPA</v>
      </c>
      <c r="F469" s="13" t="s">
        <v>14</v>
      </c>
      <c r="G469" s="15">
        <v>640</v>
      </c>
    </row>
    <row r="470" spans="1:7" ht="22.5" x14ac:dyDescent="0.25">
      <c r="A470" s="13">
        <v>12828</v>
      </c>
      <c r="B470" s="14">
        <v>43410.661828703705</v>
      </c>
      <c r="C470" s="13" t="s">
        <v>10</v>
      </c>
      <c r="D470" s="13" t="str">
        <f t="shared" si="25"/>
        <v>MATERIALE DIAGNOSTICO (W)</v>
      </c>
      <c r="E470" s="13" t="str">
        <f t="shared" si="26"/>
        <v>INSTRUMENTATION LABORATORY SPA</v>
      </c>
      <c r="F470" s="13" t="s">
        <v>14</v>
      </c>
      <c r="G470" s="15">
        <v>12</v>
      </c>
    </row>
    <row r="471" spans="1:7" ht="22.5" x14ac:dyDescent="0.25">
      <c r="A471" s="13">
        <v>12829</v>
      </c>
      <c r="B471" s="14">
        <v>43410.661828703705</v>
      </c>
      <c r="C471" s="13" t="s">
        <v>10</v>
      </c>
      <c r="D471" s="13" t="str">
        <f t="shared" si="25"/>
        <v>MATERIALE DIAGNOSTICO (W)</v>
      </c>
      <c r="E471" s="13" t="str">
        <f t="shared" si="26"/>
        <v>INSTRUMENTATION LABORATORY SPA</v>
      </c>
      <c r="F471" s="13" t="s">
        <v>14</v>
      </c>
      <c r="G471" s="15">
        <v>6</v>
      </c>
    </row>
    <row r="472" spans="1:7" ht="22.5" x14ac:dyDescent="0.25">
      <c r="A472" s="13">
        <v>12830</v>
      </c>
      <c r="B472" s="14">
        <v>43410.661828703705</v>
      </c>
      <c r="C472" s="13" t="s">
        <v>10</v>
      </c>
      <c r="D472" s="13" t="str">
        <f>"MATERIALE PROTESICO"</f>
        <v>MATERIALE PROTESICO</v>
      </c>
      <c r="E472" s="13" t="str">
        <f>"HERAEUS SPA Unipersonale"</f>
        <v>HERAEUS SPA Unipersonale</v>
      </c>
      <c r="F472" s="13" t="s">
        <v>14</v>
      </c>
      <c r="G472" s="15">
        <v>1546.6</v>
      </c>
    </row>
    <row r="473" spans="1:7" ht="22.5" x14ac:dyDescent="0.25">
      <c r="A473" s="13">
        <v>12831</v>
      </c>
      <c r="B473" s="14">
        <v>43410.661828703705</v>
      </c>
      <c r="C473" s="13" t="s">
        <v>10</v>
      </c>
      <c r="D473" s="13" t="str">
        <f>"MATERIALE PROTESICO"</f>
        <v>MATERIALE PROTESICO</v>
      </c>
      <c r="E473" s="13" t="str">
        <f>"HOFER MEDICAL ITALIA SRL"</f>
        <v>HOFER MEDICAL ITALIA SRL</v>
      </c>
      <c r="F473" s="13" t="s">
        <v>14</v>
      </c>
      <c r="G473" s="15">
        <v>162</v>
      </c>
    </row>
    <row r="474" spans="1:7" ht="22.5" x14ac:dyDescent="0.25">
      <c r="A474" s="13">
        <v>12832</v>
      </c>
      <c r="B474" s="14">
        <v>43410.661828703705</v>
      </c>
      <c r="C474" s="13" t="s">
        <v>10</v>
      </c>
      <c r="D474" s="13" t="str">
        <f>"MATERIALE PROTESICO"</f>
        <v>MATERIALE PROTESICO</v>
      </c>
      <c r="E474" s="13" t="str">
        <f>"HOFER MEDICAL ITALIA SRL"</f>
        <v>HOFER MEDICAL ITALIA SRL</v>
      </c>
      <c r="F474" s="13" t="s">
        <v>14</v>
      </c>
      <c r="G474" s="15">
        <v>720</v>
      </c>
    </row>
    <row r="475" spans="1:7" ht="22.5" x14ac:dyDescent="0.25">
      <c r="A475" s="13">
        <v>12833</v>
      </c>
      <c r="B475" s="14">
        <v>43410.661828703705</v>
      </c>
      <c r="C475" s="13" t="s">
        <v>10</v>
      </c>
      <c r="D475" s="13" t="str">
        <f>"PRODOTTI FARMACEUTICI CON AIC"</f>
        <v>PRODOTTI FARMACEUTICI CON AIC</v>
      </c>
      <c r="E475" s="13" t="str">
        <f>"GRUNENTHAL ITALIA SRL Societa Unipersonale"</f>
        <v>GRUNENTHAL ITALIA SRL Societa Unipersonale</v>
      </c>
      <c r="F475" s="13" t="str">
        <f t="shared" ref="F475:F492" si="27">"SERVIZI AUSILIARI E SPESE PULIZIA"</f>
        <v>SERVIZI AUSILIARI E SPESE PULIZIA</v>
      </c>
      <c r="G475" s="15">
        <v>1657.67</v>
      </c>
    </row>
    <row r="476" spans="1:7" ht="22.5" x14ac:dyDescent="0.25">
      <c r="A476" s="13">
        <v>12834</v>
      </c>
      <c r="B476" s="14">
        <v>43410.661828703705</v>
      </c>
      <c r="C476" s="13" t="s">
        <v>10</v>
      </c>
      <c r="D476" s="13" t="str">
        <f t="shared" ref="D476:D492" si="28">"SERVIZIO DI LAVANDERIA"</f>
        <v>SERVIZIO DI LAVANDERIA</v>
      </c>
      <c r="E476" s="13" t="str">
        <f t="shared" ref="E476:E492" si="29">"HOSPITAL SERVICE SRL"</f>
        <v>HOSPITAL SERVICE SRL</v>
      </c>
      <c r="F476" s="13" t="str">
        <f t="shared" si="27"/>
        <v>SERVIZI AUSILIARI E SPESE PULIZIA</v>
      </c>
      <c r="G476" s="15">
        <v>31.69</v>
      </c>
    </row>
    <row r="477" spans="1:7" ht="22.5" x14ac:dyDescent="0.25">
      <c r="A477" s="13">
        <v>12835</v>
      </c>
      <c r="B477" s="14">
        <v>43410.661828703705</v>
      </c>
      <c r="C477" s="13" t="s">
        <v>10</v>
      </c>
      <c r="D477" s="13" t="str">
        <f t="shared" si="28"/>
        <v>SERVIZIO DI LAVANDERIA</v>
      </c>
      <c r="E477" s="13" t="str">
        <f t="shared" si="29"/>
        <v>HOSPITAL SERVICE SRL</v>
      </c>
      <c r="F477" s="13" t="str">
        <f t="shared" si="27"/>
        <v>SERVIZI AUSILIARI E SPESE PULIZIA</v>
      </c>
      <c r="G477" s="15">
        <v>177.11</v>
      </c>
    </row>
    <row r="478" spans="1:7" ht="22.5" x14ac:dyDescent="0.25">
      <c r="A478" s="13">
        <v>12836</v>
      </c>
      <c r="B478" s="14">
        <v>43410.661828703705</v>
      </c>
      <c r="C478" s="13" t="s">
        <v>10</v>
      </c>
      <c r="D478" s="13" t="str">
        <f t="shared" si="28"/>
        <v>SERVIZIO DI LAVANDERIA</v>
      </c>
      <c r="E478" s="13" t="str">
        <f t="shared" si="29"/>
        <v>HOSPITAL SERVICE SRL</v>
      </c>
      <c r="F478" s="13" t="str">
        <f t="shared" si="27"/>
        <v>SERVIZI AUSILIARI E SPESE PULIZIA</v>
      </c>
      <c r="G478" s="15">
        <v>37275.949999999997</v>
      </c>
    </row>
    <row r="479" spans="1:7" ht="22.5" x14ac:dyDescent="0.25">
      <c r="A479" s="13">
        <v>12837</v>
      </c>
      <c r="B479" s="14">
        <v>43410.661828703705</v>
      </c>
      <c r="C479" s="13" t="s">
        <v>10</v>
      </c>
      <c r="D479" s="13" t="str">
        <f t="shared" si="28"/>
        <v>SERVIZIO DI LAVANDERIA</v>
      </c>
      <c r="E479" s="13" t="str">
        <f t="shared" si="29"/>
        <v>HOSPITAL SERVICE SRL</v>
      </c>
      <c r="F479" s="13" t="str">
        <f t="shared" si="27"/>
        <v>SERVIZI AUSILIARI E SPESE PULIZIA</v>
      </c>
      <c r="G479" s="15">
        <v>1533.33</v>
      </c>
    </row>
    <row r="480" spans="1:7" ht="22.5" x14ac:dyDescent="0.25">
      <c r="A480" s="13">
        <v>12838</v>
      </c>
      <c r="B480" s="14">
        <v>43410.661828703705</v>
      </c>
      <c r="C480" s="13" t="s">
        <v>10</v>
      </c>
      <c r="D480" s="13" t="str">
        <f t="shared" si="28"/>
        <v>SERVIZIO DI LAVANDERIA</v>
      </c>
      <c r="E480" s="13" t="str">
        <f t="shared" si="29"/>
        <v>HOSPITAL SERVICE SRL</v>
      </c>
      <c r="F480" s="13" t="str">
        <f t="shared" si="27"/>
        <v>SERVIZI AUSILIARI E SPESE PULIZIA</v>
      </c>
      <c r="G480" s="15">
        <v>1032.74</v>
      </c>
    </row>
    <row r="481" spans="1:7" ht="22.5" x14ac:dyDescent="0.25">
      <c r="A481" s="13">
        <v>12839</v>
      </c>
      <c r="B481" s="14">
        <v>43410.661828703705</v>
      </c>
      <c r="C481" s="13" t="s">
        <v>10</v>
      </c>
      <c r="D481" s="13" t="str">
        <f t="shared" si="28"/>
        <v>SERVIZIO DI LAVANDERIA</v>
      </c>
      <c r="E481" s="13" t="str">
        <f t="shared" si="29"/>
        <v>HOSPITAL SERVICE SRL</v>
      </c>
      <c r="F481" s="13" t="str">
        <f t="shared" si="27"/>
        <v>SERVIZI AUSILIARI E SPESE PULIZIA</v>
      </c>
      <c r="G481" s="15">
        <v>3399.2</v>
      </c>
    </row>
    <row r="482" spans="1:7" ht="22.5" x14ac:dyDescent="0.25">
      <c r="A482" s="13">
        <v>12840</v>
      </c>
      <c r="B482" s="14">
        <v>43410.661828703705</v>
      </c>
      <c r="C482" s="13" t="s">
        <v>10</v>
      </c>
      <c r="D482" s="13" t="str">
        <f t="shared" si="28"/>
        <v>SERVIZIO DI LAVANDERIA</v>
      </c>
      <c r="E482" s="13" t="str">
        <f t="shared" si="29"/>
        <v>HOSPITAL SERVICE SRL</v>
      </c>
      <c r="F482" s="13" t="str">
        <f t="shared" si="27"/>
        <v>SERVIZI AUSILIARI E SPESE PULIZIA</v>
      </c>
      <c r="G482" s="15">
        <v>11358</v>
      </c>
    </row>
    <row r="483" spans="1:7" ht="22.5" x14ac:dyDescent="0.25">
      <c r="A483" s="13">
        <v>12841</v>
      </c>
      <c r="B483" s="14">
        <v>43410.661828703705</v>
      </c>
      <c r="C483" s="13" t="s">
        <v>10</v>
      </c>
      <c r="D483" s="13" t="str">
        <f t="shared" si="28"/>
        <v>SERVIZIO DI LAVANDERIA</v>
      </c>
      <c r="E483" s="13" t="str">
        <f t="shared" si="29"/>
        <v>HOSPITAL SERVICE SRL</v>
      </c>
      <c r="F483" s="13" t="str">
        <f t="shared" si="27"/>
        <v>SERVIZI AUSILIARI E SPESE PULIZIA</v>
      </c>
      <c r="G483" s="15">
        <v>964.1</v>
      </c>
    </row>
    <row r="484" spans="1:7" ht="22.5" x14ac:dyDescent="0.25">
      <c r="A484" s="13">
        <v>12842</v>
      </c>
      <c r="B484" s="14">
        <v>43410.661828703705</v>
      </c>
      <c r="C484" s="13" t="s">
        <v>10</v>
      </c>
      <c r="D484" s="13" t="str">
        <f t="shared" si="28"/>
        <v>SERVIZIO DI LAVANDERIA</v>
      </c>
      <c r="E484" s="13" t="str">
        <f t="shared" si="29"/>
        <v>HOSPITAL SERVICE SRL</v>
      </c>
      <c r="F484" s="13" t="str">
        <f t="shared" si="27"/>
        <v>SERVIZI AUSILIARI E SPESE PULIZIA</v>
      </c>
      <c r="G484" s="15">
        <v>34.72</v>
      </c>
    </row>
    <row r="485" spans="1:7" ht="22.5" x14ac:dyDescent="0.25">
      <c r="A485" s="13">
        <v>12843</v>
      </c>
      <c r="B485" s="14">
        <v>43410.661828703705</v>
      </c>
      <c r="C485" s="13" t="s">
        <v>10</v>
      </c>
      <c r="D485" s="13" t="str">
        <f t="shared" si="28"/>
        <v>SERVIZIO DI LAVANDERIA</v>
      </c>
      <c r="E485" s="13" t="str">
        <f t="shared" si="29"/>
        <v>HOSPITAL SERVICE SRL</v>
      </c>
      <c r="F485" s="13" t="str">
        <f t="shared" si="27"/>
        <v>SERVIZI AUSILIARI E SPESE PULIZIA</v>
      </c>
      <c r="G485" s="15">
        <v>1457.61</v>
      </c>
    </row>
    <row r="486" spans="1:7" ht="22.5" x14ac:dyDescent="0.25">
      <c r="A486" s="13">
        <v>12844</v>
      </c>
      <c r="B486" s="14">
        <v>43410.661828703705</v>
      </c>
      <c r="C486" s="13" t="s">
        <v>10</v>
      </c>
      <c r="D486" s="13" t="str">
        <f t="shared" si="28"/>
        <v>SERVIZIO DI LAVANDERIA</v>
      </c>
      <c r="E486" s="13" t="str">
        <f t="shared" si="29"/>
        <v>HOSPITAL SERVICE SRL</v>
      </c>
      <c r="F486" s="13" t="str">
        <f t="shared" si="27"/>
        <v>SERVIZI AUSILIARI E SPESE PULIZIA</v>
      </c>
      <c r="G486" s="15">
        <v>24062.38</v>
      </c>
    </row>
    <row r="487" spans="1:7" ht="22.5" x14ac:dyDescent="0.25">
      <c r="A487" s="13">
        <v>12845</v>
      </c>
      <c r="B487" s="14">
        <v>43410.661828703705</v>
      </c>
      <c r="C487" s="13" t="s">
        <v>10</v>
      </c>
      <c r="D487" s="13" t="str">
        <f t="shared" si="28"/>
        <v>SERVIZIO DI LAVANDERIA</v>
      </c>
      <c r="E487" s="13" t="str">
        <f t="shared" si="29"/>
        <v>HOSPITAL SERVICE SRL</v>
      </c>
      <c r="F487" s="13" t="str">
        <f t="shared" si="27"/>
        <v>SERVIZI AUSILIARI E SPESE PULIZIA</v>
      </c>
      <c r="G487" s="15">
        <v>39.840000000000003</v>
      </c>
    </row>
    <row r="488" spans="1:7" ht="22.5" x14ac:dyDescent="0.25">
      <c r="A488" s="13">
        <v>12846</v>
      </c>
      <c r="B488" s="14">
        <v>43410.661828703705</v>
      </c>
      <c r="C488" s="13" t="s">
        <v>10</v>
      </c>
      <c r="D488" s="13" t="str">
        <f t="shared" si="28"/>
        <v>SERVIZIO DI LAVANDERIA</v>
      </c>
      <c r="E488" s="13" t="str">
        <f t="shared" si="29"/>
        <v>HOSPITAL SERVICE SRL</v>
      </c>
      <c r="F488" s="13" t="str">
        <f t="shared" si="27"/>
        <v>SERVIZI AUSILIARI E SPESE PULIZIA</v>
      </c>
      <c r="G488" s="15">
        <v>11168.7</v>
      </c>
    </row>
    <row r="489" spans="1:7" ht="22.5" x14ac:dyDescent="0.25">
      <c r="A489" s="13">
        <v>12847</v>
      </c>
      <c r="B489" s="14">
        <v>43410.661828703705</v>
      </c>
      <c r="C489" s="13" t="s">
        <v>10</v>
      </c>
      <c r="D489" s="13" t="str">
        <f t="shared" si="28"/>
        <v>SERVIZIO DI LAVANDERIA</v>
      </c>
      <c r="E489" s="13" t="str">
        <f t="shared" si="29"/>
        <v>HOSPITAL SERVICE SRL</v>
      </c>
      <c r="F489" s="13" t="str">
        <f t="shared" si="27"/>
        <v>SERVIZI AUSILIARI E SPESE PULIZIA</v>
      </c>
      <c r="G489" s="15">
        <v>1889.55</v>
      </c>
    </row>
    <row r="490" spans="1:7" ht="22.5" x14ac:dyDescent="0.25">
      <c r="A490" s="13">
        <v>12848</v>
      </c>
      <c r="B490" s="14">
        <v>43410.661828703705</v>
      </c>
      <c r="C490" s="13" t="s">
        <v>10</v>
      </c>
      <c r="D490" s="13" t="str">
        <f t="shared" si="28"/>
        <v>SERVIZIO DI LAVANDERIA</v>
      </c>
      <c r="E490" s="13" t="str">
        <f t="shared" si="29"/>
        <v>HOSPITAL SERVICE SRL</v>
      </c>
      <c r="F490" s="13" t="str">
        <f t="shared" si="27"/>
        <v>SERVIZI AUSILIARI E SPESE PULIZIA</v>
      </c>
      <c r="G490" s="15">
        <v>458.56</v>
      </c>
    </row>
    <row r="491" spans="1:7" ht="22.5" x14ac:dyDescent="0.25">
      <c r="A491" s="13">
        <v>12849</v>
      </c>
      <c r="B491" s="14">
        <v>43410.661828703705</v>
      </c>
      <c r="C491" s="13" t="s">
        <v>10</v>
      </c>
      <c r="D491" s="13" t="str">
        <f t="shared" si="28"/>
        <v>SERVIZIO DI LAVANDERIA</v>
      </c>
      <c r="E491" s="13" t="str">
        <f t="shared" si="29"/>
        <v>HOSPITAL SERVICE SRL</v>
      </c>
      <c r="F491" s="13" t="str">
        <f t="shared" si="27"/>
        <v>SERVIZI AUSILIARI E SPESE PULIZIA</v>
      </c>
      <c r="G491" s="15">
        <v>120.49</v>
      </c>
    </row>
    <row r="492" spans="1:7" ht="22.5" x14ac:dyDescent="0.25">
      <c r="A492" s="13">
        <v>12850</v>
      </c>
      <c r="B492" s="14">
        <v>43410.661828703705</v>
      </c>
      <c r="C492" s="13" t="s">
        <v>10</v>
      </c>
      <c r="D492" s="13" t="str">
        <f t="shared" si="28"/>
        <v>SERVIZIO DI LAVANDERIA</v>
      </c>
      <c r="E492" s="13" t="str">
        <f t="shared" si="29"/>
        <v>HOSPITAL SERVICE SRL</v>
      </c>
      <c r="F492" s="13" t="str">
        <f t="shared" si="27"/>
        <v>SERVIZI AUSILIARI E SPESE PULIZIA</v>
      </c>
      <c r="G492" s="15">
        <v>615.38</v>
      </c>
    </row>
    <row r="493" spans="1:7" ht="22.5" x14ac:dyDescent="0.25">
      <c r="A493" s="13">
        <v>12851</v>
      </c>
      <c r="B493" s="14">
        <v>43410.661840277775</v>
      </c>
      <c r="C493" s="13" t="s">
        <v>10</v>
      </c>
      <c r="D493" s="13" t="str">
        <f>"CANONI NOLEGGIO APPARECCHIATURE SANITARIE"</f>
        <v>CANONI NOLEGGIO APPARECCHIATURE SANITARIE</v>
      </c>
      <c r="E493" s="13" t="str">
        <f t="shared" ref="E493:E502" si="30">"INSTRUMENTATION LABORATORY SPA"</f>
        <v>INSTRUMENTATION LABORATORY SPA</v>
      </c>
      <c r="F493" s="13" t="s">
        <v>14</v>
      </c>
      <c r="G493" s="15">
        <v>153.75</v>
      </c>
    </row>
    <row r="494" spans="1:7" ht="22.5" x14ac:dyDescent="0.25">
      <c r="A494" s="13">
        <v>12852</v>
      </c>
      <c r="B494" s="14">
        <v>43410.661840277775</v>
      </c>
      <c r="C494" s="13" t="s">
        <v>10</v>
      </c>
      <c r="D494" s="13" t="str">
        <f>"CANONI NOLEGGIO APPARECCHIATURE SANITARIE"</f>
        <v>CANONI NOLEGGIO APPARECCHIATURE SANITARIE</v>
      </c>
      <c r="E494" s="13" t="str">
        <f t="shared" si="30"/>
        <v>INSTRUMENTATION LABORATORY SPA</v>
      </c>
      <c r="F494" s="13" t="s">
        <v>14</v>
      </c>
      <c r="G494" s="15">
        <v>153.75</v>
      </c>
    </row>
    <row r="495" spans="1:7" ht="22.5" x14ac:dyDescent="0.25">
      <c r="A495" s="13">
        <v>12853</v>
      </c>
      <c r="B495" s="14">
        <v>43410.661840277775</v>
      </c>
      <c r="C495" s="13" t="s">
        <v>10</v>
      </c>
      <c r="D495" s="13" t="str">
        <f>"CANONI NOLEGGIO APPARECCHIATURE SANITARIE"</f>
        <v>CANONI NOLEGGIO APPARECCHIATURE SANITARIE</v>
      </c>
      <c r="E495" s="13" t="str">
        <f t="shared" si="30"/>
        <v>INSTRUMENTATION LABORATORY SPA</v>
      </c>
      <c r="F495" s="13" t="s">
        <v>14</v>
      </c>
      <c r="G495" s="15">
        <v>153.75</v>
      </c>
    </row>
    <row r="496" spans="1:7" ht="22.5" x14ac:dyDescent="0.25">
      <c r="A496" s="13">
        <v>12854</v>
      </c>
      <c r="B496" s="14">
        <v>43410.661840277775</v>
      </c>
      <c r="C496" s="13" t="s">
        <v>10</v>
      </c>
      <c r="D496" s="13" t="str">
        <f>"CANONI NOLEGGIO APPARECCHIATURE SANITARIE"</f>
        <v>CANONI NOLEGGIO APPARECCHIATURE SANITARIE</v>
      </c>
      <c r="E496" s="13" t="str">
        <f t="shared" si="30"/>
        <v>INSTRUMENTATION LABORATORY SPA</v>
      </c>
      <c r="F496" s="13" t="s">
        <v>14</v>
      </c>
      <c r="G496" s="15">
        <v>153.75</v>
      </c>
    </row>
    <row r="497" spans="1:7" ht="22.5" x14ac:dyDescent="0.25">
      <c r="A497" s="13">
        <v>12855</v>
      </c>
      <c r="B497" s="14">
        <v>43410.661840277775</v>
      </c>
      <c r="C497" s="13" t="s">
        <v>10</v>
      </c>
      <c r="D497" s="13" t="str">
        <f>"CANONI NOLEGGIO APPARECCHIATURE SANITARIE"</f>
        <v>CANONI NOLEGGIO APPARECCHIATURE SANITARIE</v>
      </c>
      <c r="E497" s="13" t="str">
        <f t="shared" si="30"/>
        <v>INSTRUMENTATION LABORATORY SPA</v>
      </c>
      <c r="F497" s="13" t="s">
        <v>14</v>
      </c>
      <c r="G497" s="15">
        <v>1800</v>
      </c>
    </row>
    <row r="498" spans="1:7" ht="22.5" x14ac:dyDescent="0.25">
      <c r="A498" s="13">
        <v>12856</v>
      </c>
      <c r="B498" s="14">
        <v>43410.661840277775</v>
      </c>
      <c r="C498" s="13" t="s">
        <v>10</v>
      </c>
      <c r="D498" s="13" t="str">
        <f>"MATERIALE DIAGNOSTICO (W)"</f>
        <v>MATERIALE DIAGNOSTICO (W)</v>
      </c>
      <c r="E498" s="13" t="str">
        <f t="shared" si="30"/>
        <v>INSTRUMENTATION LABORATORY SPA</v>
      </c>
      <c r="F498" s="13" t="s">
        <v>14</v>
      </c>
      <c r="G498" s="15">
        <v>188.8</v>
      </c>
    </row>
    <row r="499" spans="1:7" ht="22.5" x14ac:dyDescent="0.25">
      <c r="A499" s="13">
        <v>12857</v>
      </c>
      <c r="B499" s="14">
        <v>43410.661840277775</v>
      </c>
      <c r="C499" s="13" t="s">
        <v>10</v>
      </c>
      <c r="D499" s="13" t="str">
        <f>"MATERIALE DIAGNOSTICO (W)"</f>
        <v>MATERIALE DIAGNOSTICO (W)</v>
      </c>
      <c r="E499" s="13" t="str">
        <f t="shared" si="30"/>
        <v>INSTRUMENTATION LABORATORY SPA</v>
      </c>
      <c r="F499" s="13" t="s">
        <v>14</v>
      </c>
      <c r="G499" s="15">
        <v>377.6</v>
      </c>
    </row>
    <row r="500" spans="1:7" ht="22.5" x14ac:dyDescent="0.25">
      <c r="A500" s="13">
        <v>12858</v>
      </c>
      <c r="B500" s="14">
        <v>43410.661840277775</v>
      </c>
      <c r="C500" s="13" t="s">
        <v>10</v>
      </c>
      <c r="D500" s="13" t="str">
        <f>"MATERIALE DIAGNOSTICO (W)"</f>
        <v>MATERIALE DIAGNOSTICO (W)</v>
      </c>
      <c r="E500" s="13" t="str">
        <f t="shared" si="30"/>
        <v>INSTRUMENTATION LABORATORY SPA</v>
      </c>
      <c r="F500" s="13" t="s">
        <v>14</v>
      </c>
      <c r="G500" s="15">
        <v>188.8</v>
      </c>
    </row>
    <row r="501" spans="1:7" ht="22.5" x14ac:dyDescent="0.25">
      <c r="A501" s="13">
        <v>12859</v>
      </c>
      <c r="B501" s="14">
        <v>43410.661840277775</v>
      </c>
      <c r="C501" s="13" t="s">
        <v>10</v>
      </c>
      <c r="D501" s="13" t="str">
        <f>"MATERIALE DIAGNOSTICO (W)"</f>
        <v>MATERIALE DIAGNOSTICO (W)</v>
      </c>
      <c r="E501" s="13" t="str">
        <f t="shared" si="30"/>
        <v>INSTRUMENTATION LABORATORY SPA</v>
      </c>
      <c r="F501" s="13" t="s">
        <v>14</v>
      </c>
      <c r="G501" s="15">
        <v>1509.3</v>
      </c>
    </row>
    <row r="502" spans="1:7" ht="22.5" x14ac:dyDescent="0.25">
      <c r="A502" s="13">
        <v>12860</v>
      </c>
      <c r="B502" s="14">
        <v>43410.661840277775</v>
      </c>
      <c r="C502" s="13" t="s">
        <v>10</v>
      </c>
      <c r="D502" s="13" t="str">
        <f>"MATERIALE DIAGNOSTICO (W)"</f>
        <v>MATERIALE DIAGNOSTICO (W)</v>
      </c>
      <c r="E502" s="13" t="str">
        <f t="shared" si="30"/>
        <v>INSTRUMENTATION LABORATORY SPA</v>
      </c>
      <c r="F502" s="13" t="s">
        <v>14</v>
      </c>
      <c r="G502" s="15">
        <v>220</v>
      </c>
    </row>
    <row r="503" spans="1:7" ht="22.5" x14ac:dyDescent="0.25">
      <c r="A503" s="13">
        <v>12861</v>
      </c>
      <c r="B503" s="14">
        <v>43410.661840277775</v>
      </c>
      <c r="C503" s="13" t="s">
        <v>10</v>
      </c>
      <c r="D503" s="13" t="str">
        <f>"SERVIZIO DI PULIZIA (MENSA DIPENDENTI)"</f>
        <v>SERVIZIO DI PULIZIA (MENSA DIPENDENTI)</v>
      </c>
      <c r="E503" s="13" t="str">
        <f>"ITALIA SERVIZI INTEGRATI SPA"</f>
        <v>ITALIA SERVIZI INTEGRATI SPA</v>
      </c>
      <c r="F503" s="13" t="str">
        <f>"SERVIZI AUSILIARI E SPESE PULIZIA"</f>
        <v>SERVIZI AUSILIARI E SPESE PULIZIA</v>
      </c>
      <c r="G503" s="15">
        <v>1272.5999999999999</v>
      </c>
    </row>
    <row r="504" spans="1:7" ht="22.5" x14ac:dyDescent="0.25">
      <c r="A504" s="13">
        <v>12862</v>
      </c>
      <c r="B504" s="14">
        <v>43410.661840277775</v>
      </c>
      <c r="C504" s="13" t="s">
        <v>10</v>
      </c>
      <c r="D504" s="13" t="str">
        <f>"SERVIZIO DI PULIZIA E DISINFESTAZIONE"</f>
        <v>SERVIZIO DI PULIZIA E DISINFESTAZIONE</v>
      </c>
      <c r="E504" s="13" t="str">
        <f>"ITALIA SERVIZI INTEGRATI SPA"</f>
        <v>ITALIA SERVIZI INTEGRATI SPA</v>
      </c>
      <c r="F504" s="13" t="s">
        <v>28</v>
      </c>
      <c r="G504" s="15">
        <v>2106</v>
      </c>
    </row>
    <row r="505" spans="1:7" ht="33.75" x14ac:dyDescent="0.25">
      <c r="A505" s="13">
        <v>12863</v>
      </c>
      <c r="B505" s="14">
        <v>43410.661840277775</v>
      </c>
      <c r="C505" s="13" t="s">
        <v>10</v>
      </c>
      <c r="D505" s="13" t="str">
        <f>"SERVIZIO TRASPORTO MAGAZZINAGGIO FACCHINAGGIO IN APPALTO"</f>
        <v>SERVIZIO TRASPORTO MAGAZZINAGGIO FACCHINAGGIO IN APPALTO</v>
      </c>
      <c r="E505" s="13" t="str">
        <f>"ITALIA SERVIZI INTEGRATI SPA"</f>
        <v>ITALIA SERVIZI INTEGRATI SPA</v>
      </c>
      <c r="F505" s="13" t="s">
        <v>14</v>
      </c>
      <c r="G505" s="15">
        <v>103481.58</v>
      </c>
    </row>
    <row r="506" spans="1:7" ht="33.75" x14ac:dyDescent="0.25">
      <c r="A506" s="13">
        <v>12864</v>
      </c>
      <c r="B506" s="14">
        <v>43410.661840277775</v>
      </c>
      <c r="C506" s="13" t="s">
        <v>10</v>
      </c>
      <c r="D506" s="13" t="str">
        <f>"SERVIZIO TRASPORTO MAGAZZINAGGIO FACCHINAGGIO IN APPALTO"</f>
        <v>SERVIZIO TRASPORTO MAGAZZINAGGIO FACCHINAGGIO IN APPALTO</v>
      </c>
      <c r="E506" s="13" t="str">
        <f>"ITALIA SERVIZI INTEGRATI SPA"</f>
        <v>ITALIA SERVIZI INTEGRATI SPA</v>
      </c>
      <c r="F506" s="13" t="s">
        <v>14</v>
      </c>
      <c r="G506" s="15">
        <v>34054.980000000003</v>
      </c>
    </row>
    <row r="507" spans="1:7" ht="33.75" x14ac:dyDescent="0.25">
      <c r="A507" s="13">
        <v>12865</v>
      </c>
      <c r="B507" s="14">
        <v>43410.718414351853</v>
      </c>
      <c r="C507" s="13" t="s">
        <v>10</v>
      </c>
      <c r="D507" s="13" t="str">
        <f>"APP.RE SANITARIE E RELATIVI COMPONENTI ACCESSORI E MATERIALE RADIOGRAFICO (Z)"</f>
        <v>APP.RE SANITARIE E RELATIVI COMPONENTI ACCESSORI E MATERIALE RADIOGRAFICO (Z)</v>
      </c>
      <c r="E507" s="13" t="str">
        <f>"BONESCHI &amp; C. SPA"</f>
        <v>BONESCHI &amp; C. SPA</v>
      </c>
      <c r="F507" s="13" t="s">
        <v>14</v>
      </c>
      <c r="G507" s="15">
        <v>1102.5</v>
      </c>
    </row>
    <row r="508" spans="1:7" ht="33.75" x14ac:dyDescent="0.25">
      <c r="A508" s="13">
        <v>12866</v>
      </c>
      <c r="B508" s="14">
        <v>43410.718414351853</v>
      </c>
      <c r="C508" s="13" t="s">
        <v>10</v>
      </c>
      <c r="D508" s="13" t="str">
        <f>"APP.RE SANITARIE E RELATIVI COMPONENTI ACCESSORI E MATERIALE RADIOGRAFICO (Z)"</f>
        <v>APP.RE SANITARIE E RELATIVI COMPONENTI ACCESSORI E MATERIALE RADIOGRAFICO (Z)</v>
      </c>
      <c r="E508" s="13" t="str">
        <f>"BONESCHI &amp; C. SPA"</f>
        <v>BONESCHI &amp; C. SPA</v>
      </c>
      <c r="F508" s="13" t="s">
        <v>14</v>
      </c>
      <c r="G508" s="15">
        <v>2696</v>
      </c>
    </row>
    <row r="509" spans="1:7" ht="22.5" x14ac:dyDescent="0.25">
      <c r="A509" s="13">
        <v>12867</v>
      </c>
      <c r="B509" s="14">
        <v>43410.718414351853</v>
      </c>
      <c r="C509" s="13" t="s">
        <v>11</v>
      </c>
      <c r="D509" s="13" t="str">
        <f>"MANUTENZIONE ATTREZZATURE SANITARIE"</f>
        <v>MANUTENZIONE ATTREZZATURE SANITARIE</v>
      </c>
      <c r="E509" s="13" t="str">
        <f>"BONESCHI &amp; C. SPA"</f>
        <v>BONESCHI &amp; C. SPA</v>
      </c>
      <c r="F509" s="13" t="s">
        <v>22</v>
      </c>
      <c r="G509" s="15">
        <v>45.6</v>
      </c>
    </row>
    <row r="510" spans="1:7" ht="22.5" x14ac:dyDescent="0.25">
      <c r="A510" s="13">
        <v>12868</v>
      </c>
      <c r="B510" s="14">
        <v>43410.718414351853</v>
      </c>
      <c r="C510" s="13" t="s">
        <v>10</v>
      </c>
      <c r="D510" s="13" t="str">
        <f>"STRUMENTARIO CHIRURGICO (K, L)"</f>
        <v>STRUMENTARIO CHIRURGICO (K, L)</v>
      </c>
      <c r="E510" s="13" t="str">
        <f>"BONESCHI &amp; C. SPA"</f>
        <v>BONESCHI &amp; C. SPA</v>
      </c>
      <c r="F510" s="13" t="s">
        <v>14</v>
      </c>
      <c r="G510" s="15">
        <v>91.9</v>
      </c>
    </row>
    <row r="511" spans="1:7" ht="22.5" x14ac:dyDescent="0.25">
      <c r="A511" s="13">
        <v>12869</v>
      </c>
      <c r="B511" s="14">
        <v>43410.71912037037</v>
      </c>
      <c r="C511" s="13" t="s">
        <v>10</v>
      </c>
      <c r="D511" s="13" t="str">
        <f>"ALTRO MATERIALE SANITARIO (SENZA CND)"</f>
        <v>ALTRO MATERIALE SANITARIO (SENZA CND)</v>
      </c>
      <c r="E511" s="13" t="str">
        <f t="shared" ref="E511:E516" si="31">"CEA SPA"</f>
        <v>CEA SPA</v>
      </c>
      <c r="F511" s="13" t="s">
        <v>16</v>
      </c>
      <c r="G511" s="15">
        <v>546.96</v>
      </c>
    </row>
    <row r="512" spans="1:7" ht="33.75" x14ac:dyDescent="0.25">
      <c r="A512" s="13">
        <v>12870</v>
      </c>
      <c r="B512" s="14">
        <v>43410.71912037037</v>
      </c>
      <c r="C512" s="13" t="s">
        <v>10</v>
      </c>
      <c r="D512" s="13" t="str">
        <f>"DISINFETTANTI, PRODOTTI PER STERILIZZAZIONE E DISPOSITIVI VARI V"</f>
        <v>DISINFETTANTI, PRODOTTI PER STERILIZZAZIONE E DISPOSITIVI VARI V</v>
      </c>
      <c r="E512" s="13" t="str">
        <f t="shared" si="31"/>
        <v>CEA SPA</v>
      </c>
      <c r="F512" s="13" t="s">
        <v>14</v>
      </c>
      <c r="G512" s="15">
        <v>879.7</v>
      </c>
    </row>
    <row r="513" spans="1:7" ht="33.75" x14ac:dyDescent="0.25">
      <c r="A513" s="13">
        <v>12871</v>
      </c>
      <c r="B513" s="14">
        <v>43410.71912037037</v>
      </c>
      <c r="C513" s="13" t="s">
        <v>10</v>
      </c>
      <c r="D513" s="13" t="str">
        <f>"DISPOSITIVI DI SOMMINISTRAZIONE, PRELIEVO E RACCOLTA (CIN A)"</f>
        <v>DISPOSITIVI DI SOMMINISTRAZIONE, PRELIEVO E RACCOLTA (CIN A)</v>
      </c>
      <c r="E513" s="13" t="str">
        <f t="shared" si="31"/>
        <v>CEA SPA</v>
      </c>
      <c r="F513" s="13" t="s">
        <v>14</v>
      </c>
      <c r="G513" s="15">
        <v>330</v>
      </c>
    </row>
    <row r="514" spans="1:7" ht="33.75" x14ac:dyDescent="0.25">
      <c r="A514" s="13">
        <v>12872</v>
      </c>
      <c r="B514" s="14">
        <v>43410.71912037037</v>
      </c>
      <c r="C514" s="13" t="s">
        <v>10</v>
      </c>
      <c r="D514" s="13" t="str">
        <f>"DISPOSITIVI DI SOMMINISTRAZIONE, PRELIEVO E RACCOLTA (CIN A)"</f>
        <v>DISPOSITIVI DI SOMMINISTRAZIONE, PRELIEVO E RACCOLTA (CIN A)</v>
      </c>
      <c r="E514" s="13" t="str">
        <f t="shared" si="31"/>
        <v>CEA SPA</v>
      </c>
      <c r="F514" s="13" t="s">
        <v>14</v>
      </c>
      <c r="G514" s="15">
        <v>468</v>
      </c>
    </row>
    <row r="515" spans="1:7" ht="22.5" x14ac:dyDescent="0.25">
      <c r="A515" s="13">
        <v>12873</v>
      </c>
      <c r="B515" s="14">
        <v>43410.71912037037</v>
      </c>
      <c r="C515" s="13" t="s">
        <v>10</v>
      </c>
      <c r="D515" s="13" t="str">
        <f>"DISPOSITIVI PER APPARATO CARDIOCIRCOLATORIO (C)"</f>
        <v>DISPOSITIVI PER APPARATO CARDIOCIRCOLATORIO (C)</v>
      </c>
      <c r="E515" s="13" t="str">
        <f t="shared" si="31"/>
        <v>CEA SPA</v>
      </c>
      <c r="F515" s="13" t="s">
        <v>14</v>
      </c>
      <c r="G515" s="15">
        <v>109.2</v>
      </c>
    </row>
    <row r="516" spans="1:7" ht="33.75" x14ac:dyDescent="0.25">
      <c r="A516" s="13">
        <v>12874</v>
      </c>
      <c r="B516" s="14">
        <v>43410.71912037037</v>
      </c>
      <c r="C516" s="13" t="s">
        <v>10</v>
      </c>
      <c r="D516" s="13" t="str">
        <f>"PRESIDI MEDICO-CHIRURGICI GENERICI E AUSILI TECNICI PER DISABILI T"</f>
        <v>PRESIDI MEDICO-CHIRURGICI GENERICI E AUSILI TECNICI PER DISABILI T</v>
      </c>
      <c r="E516" s="13" t="str">
        <f t="shared" si="31"/>
        <v>CEA SPA</v>
      </c>
      <c r="F516" s="13" t="s">
        <v>14</v>
      </c>
      <c r="G516" s="15">
        <v>540</v>
      </c>
    </row>
    <row r="517" spans="1:7" ht="22.5" x14ac:dyDescent="0.25">
      <c r="A517" s="13">
        <v>12875</v>
      </c>
      <c r="B517" s="14">
        <v>43410.719178240739</v>
      </c>
      <c r="C517" s="13" t="s">
        <v>10</v>
      </c>
      <c r="D517" s="13" t="str">
        <f>"FARMACI FILE F"</f>
        <v>FARMACI FILE F</v>
      </c>
      <c r="E517" s="13" t="str">
        <f>"CELGENE SRL"</f>
        <v>CELGENE SRL</v>
      </c>
      <c r="F517" s="13" t="s">
        <v>14</v>
      </c>
      <c r="G517" s="15">
        <v>3456.96</v>
      </c>
    </row>
    <row r="518" spans="1:7" ht="22.5" x14ac:dyDescent="0.25">
      <c r="A518" s="13">
        <v>12876</v>
      </c>
      <c r="B518" s="14">
        <v>43410.719178240739</v>
      </c>
      <c r="C518" s="13" t="s">
        <v>10</v>
      </c>
      <c r="D518" s="13" t="str">
        <f>"FARMACI FILE F"</f>
        <v>FARMACI FILE F</v>
      </c>
      <c r="E518" s="13" t="str">
        <f>"CELGENE SRL"</f>
        <v>CELGENE SRL</v>
      </c>
      <c r="F518" s="13" t="s">
        <v>14</v>
      </c>
      <c r="G518" s="15">
        <v>3456.96</v>
      </c>
    </row>
    <row r="519" spans="1:7" ht="33.75" x14ac:dyDescent="0.25">
      <c r="A519" s="13">
        <v>12877</v>
      </c>
      <c r="B519" s="14">
        <v>43411.50267361111</v>
      </c>
      <c r="C519" s="13" t="s">
        <v>10</v>
      </c>
      <c r="D519" s="13" t="str">
        <f>"DISINFETTANTI, PRODOTTI PER STERILIZZAZIONE E DISPOSITIVI VARI S"</f>
        <v>DISINFETTANTI, PRODOTTI PER STERILIZZAZIONE E DISPOSITIVI VARI S</v>
      </c>
      <c r="E519" s="13" t="str">
        <f>"ID &amp; CO. SRL"</f>
        <v>ID &amp; CO. SRL</v>
      </c>
      <c r="F519" s="13" t="s">
        <v>14</v>
      </c>
      <c r="G519" s="15">
        <v>2629.77</v>
      </c>
    </row>
    <row r="520" spans="1:7" ht="22.5" x14ac:dyDescent="0.25">
      <c r="A520" s="13">
        <v>12878</v>
      </c>
      <c r="B520" s="14">
        <v>43411.50267361111</v>
      </c>
      <c r="C520" s="13" t="s">
        <v>10</v>
      </c>
      <c r="D520" s="13" t="str">
        <f t="shared" ref="D520:D528" si="32">"FARMACI FILE F"</f>
        <v>FARMACI FILE F</v>
      </c>
      <c r="E520" s="13" t="str">
        <f>"JANSSEN-CILAG SPA"</f>
        <v>JANSSEN-CILAG SPA</v>
      </c>
      <c r="F520" s="13" t="s">
        <v>14</v>
      </c>
      <c r="G520" s="15">
        <v>14123.4</v>
      </c>
    </row>
    <row r="521" spans="1:7" ht="22.5" x14ac:dyDescent="0.25">
      <c r="A521" s="13">
        <v>12879</v>
      </c>
      <c r="B521" s="14">
        <v>43411.50267361111</v>
      </c>
      <c r="C521" s="13" t="s">
        <v>10</v>
      </c>
      <c r="D521" s="13" t="str">
        <f t="shared" si="32"/>
        <v>FARMACI FILE F</v>
      </c>
      <c r="E521" s="13" t="str">
        <f>"JANSSEN-CILAG SPA"</f>
        <v>JANSSEN-CILAG SPA</v>
      </c>
      <c r="F521" s="13" t="s">
        <v>14</v>
      </c>
      <c r="G521" s="15">
        <v>14123.4</v>
      </c>
    </row>
    <row r="522" spans="1:7" ht="22.5" x14ac:dyDescent="0.25">
      <c r="A522" s="13">
        <v>12880</v>
      </c>
      <c r="B522" s="14">
        <v>43411.50267361111</v>
      </c>
      <c r="C522" s="13" t="s">
        <v>10</v>
      </c>
      <c r="D522" s="13" t="str">
        <f t="shared" si="32"/>
        <v>FARMACI FILE F</v>
      </c>
      <c r="E522" s="13" t="str">
        <f>"JANSSEN-CILAG SPA"</f>
        <v>JANSSEN-CILAG SPA</v>
      </c>
      <c r="F522" s="13" t="s">
        <v>14</v>
      </c>
      <c r="G522" s="15">
        <v>4707.8</v>
      </c>
    </row>
    <row r="523" spans="1:7" ht="22.5" x14ac:dyDescent="0.25">
      <c r="A523" s="13">
        <v>12881</v>
      </c>
      <c r="B523" s="14">
        <v>43411.50267361111</v>
      </c>
      <c r="C523" s="13" t="s">
        <v>10</v>
      </c>
      <c r="D523" s="13" t="str">
        <f t="shared" si="32"/>
        <v>FARMACI FILE F</v>
      </c>
      <c r="E523" s="13" t="str">
        <f>"PFIZER SRL"</f>
        <v>PFIZER SRL</v>
      </c>
      <c r="F523" s="13" t="s">
        <v>14</v>
      </c>
      <c r="G523" s="15">
        <v>51197.760000000002</v>
      </c>
    </row>
    <row r="524" spans="1:7" ht="22.5" x14ac:dyDescent="0.25">
      <c r="A524" s="13">
        <v>12882</v>
      </c>
      <c r="B524" s="14">
        <v>43411.50267361111</v>
      </c>
      <c r="C524" s="13" t="s">
        <v>10</v>
      </c>
      <c r="D524" s="13" t="str">
        <f t="shared" si="32"/>
        <v>FARMACI FILE F</v>
      </c>
      <c r="E524" s="13" t="str">
        <f>"PFIZER SRL"</f>
        <v>PFIZER SRL</v>
      </c>
      <c r="F524" s="13" t="s">
        <v>14</v>
      </c>
      <c r="G524" s="15">
        <v>46489.919999999998</v>
      </c>
    </row>
    <row r="525" spans="1:7" ht="22.5" x14ac:dyDescent="0.25">
      <c r="A525" s="13">
        <v>12883</v>
      </c>
      <c r="B525" s="14">
        <v>43411.50267361111</v>
      </c>
      <c r="C525" s="13" t="s">
        <v>10</v>
      </c>
      <c r="D525" s="13" t="str">
        <f t="shared" si="32"/>
        <v>FARMACI FILE F</v>
      </c>
      <c r="E525" s="13" t="str">
        <f>"PFIZER SRL"</f>
        <v>PFIZER SRL</v>
      </c>
      <c r="F525" s="13" t="s">
        <v>14</v>
      </c>
      <c r="G525" s="15">
        <v>20008.32</v>
      </c>
    </row>
    <row r="526" spans="1:7" ht="22.5" x14ac:dyDescent="0.25">
      <c r="A526" s="13">
        <v>12884</v>
      </c>
      <c r="B526" s="14">
        <v>43411.50267361111</v>
      </c>
      <c r="C526" s="13" t="s">
        <v>10</v>
      </c>
      <c r="D526" s="13" t="str">
        <f t="shared" si="32"/>
        <v>FARMACI FILE F</v>
      </c>
      <c r="E526" s="13" t="str">
        <f>"ROCHE SPA Societa Unipersonale"</f>
        <v>ROCHE SPA Societa Unipersonale</v>
      </c>
      <c r="F526" s="13" t="s">
        <v>14</v>
      </c>
      <c r="G526" s="15">
        <v>11193.28</v>
      </c>
    </row>
    <row r="527" spans="1:7" ht="22.5" x14ac:dyDescent="0.25">
      <c r="A527" s="13">
        <v>12885</v>
      </c>
      <c r="B527" s="14">
        <v>43411.50267361111</v>
      </c>
      <c r="C527" s="13" t="s">
        <v>10</v>
      </c>
      <c r="D527" s="13" t="str">
        <f t="shared" si="32"/>
        <v>FARMACI FILE F</v>
      </c>
      <c r="E527" s="13" t="str">
        <f>"ROCHE SPA Societa Unipersonale"</f>
        <v>ROCHE SPA Societa Unipersonale</v>
      </c>
      <c r="F527" s="13" t="s">
        <v>14</v>
      </c>
      <c r="G527" s="15">
        <v>42770.42</v>
      </c>
    </row>
    <row r="528" spans="1:7" ht="22.5" x14ac:dyDescent="0.25">
      <c r="A528" s="13">
        <v>12886</v>
      </c>
      <c r="B528" s="14">
        <v>43411.50267361111</v>
      </c>
      <c r="C528" s="13" t="s">
        <v>10</v>
      </c>
      <c r="D528" s="13" t="str">
        <f t="shared" si="32"/>
        <v>FARMACI FILE F</v>
      </c>
      <c r="E528" s="13" t="str">
        <f>"ROCHE SPA Societa Unipersonale"</f>
        <v>ROCHE SPA Societa Unipersonale</v>
      </c>
      <c r="F528" s="13" t="s">
        <v>14</v>
      </c>
      <c r="G528" s="15">
        <v>34604.800000000003</v>
      </c>
    </row>
    <row r="529" spans="1:7" ht="22.5" x14ac:dyDescent="0.25">
      <c r="A529" s="13">
        <v>12887</v>
      </c>
      <c r="B529" s="14">
        <v>43411.50267361111</v>
      </c>
      <c r="C529" s="13" t="s">
        <v>10</v>
      </c>
      <c r="D529" s="13" t="str">
        <f>"MATERIALE PROTESICO"</f>
        <v>MATERIALE PROTESICO</v>
      </c>
      <c r="E529" s="13" t="str">
        <f>"IMPLANTCAST ITALIA SRL"</f>
        <v>IMPLANTCAST ITALIA SRL</v>
      </c>
      <c r="F529" s="13" t="s">
        <v>14</v>
      </c>
      <c r="G529" s="15">
        <v>6196.43</v>
      </c>
    </row>
    <row r="530" spans="1:7" ht="22.5" x14ac:dyDescent="0.25">
      <c r="A530" s="13">
        <v>12888</v>
      </c>
      <c r="B530" s="14">
        <v>43411.50267361111</v>
      </c>
      <c r="C530" s="13" t="s">
        <v>10</v>
      </c>
      <c r="D530" s="13" t="str">
        <f>"MATERIALE PROTESICO"</f>
        <v>MATERIALE PROTESICO</v>
      </c>
      <c r="E530" s="13" t="str">
        <f>"IMPLANTCAST ITALIA SRL"</f>
        <v>IMPLANTCAST ITALIA SRL</v>
      </c>
      <c r="F530" s="13" t="s">
        <v>14</v>
      </c>
      <c r="G530" s="15">
        <v>23066.85</v>
      </c>
    </row>
    <row r="531" spans="1:7" ht="22.5" x14ac:dyDescent="0.25">
      <c r="A531" s="13">
        <v>12889</v>
      </c>
      <c r="B531" s="14">
        <v>43411.50267361111</v>
      </c>
      <c r="C531" s="13" t="s">
        <v>10</v>
      </c>
      <c r="D531" s="13" t="str">
        <f>"MATERIALE PROTESICO"</f>
        <v>MATERIALE PROTESICO</v>
      </c>
      <c r="E531" s="13" t="str">
        <f>"IMPLANTCAST ITALIA SRL"</f>
        <v>IMPLANTCAST ITALIA SRL</v>
      </c>
      <c r="F531" s="13" t="s">
        <v>14</v>
      </c>
      <c r="G531" s="15">
        <v>16026.08</v>
      </c>
    </row>
    <row r="532" spans="1:7" ht="22.5" x14ac:dyDescent="0.25">
      <c r="A532" s="13">
        <v>12890</v>
      </c>
      <c r="B532" s="14">
        <v>43411.50267361111</v>
      </c>
      <c r="C532" s="13" t="s">
        <v>10</v>
      </c>
      <c r="D532" s="13" t="str">
        <f>"MATERIALE PROTESICO"</f>
        <v>MATERIALE PROTESICO</v>
      </c>
      <c r="E532" s="13" t="str">
        <f>"IMPLANTCAST ITALIA SRL"</f>
        <v>IMPLANTCAST ITALIA SRL</v>
      </c>
      <c r="F532" s="13" t="s">
        <v>14</v>
      </c>
      <c r="G532" s="15">
        <v>7946.3</v>
      </c>
    </row>
    <row r="533" spans="1:7" ht="22.5" x14ac:dyDescent="0.25">
      <c r="A533" s="13">
        <v>12891</v>
      </c>
      <c r="B533" s="14">
        <v>43411.50267361111</v>
      </c>
      <c r="C533" s="13" t="s">
        <v>10</v>
      </c>
      <c r="D533" s="13" t="str">
        <f>"MATERIALE PROTESICO"</f>
        <v>MATERIALE PROTESICO</v>
      </c>
      <c r="E533" s="13" t="str">
        <f>"IMPLANTCAST ITALIA SRL"</f>
        <v>IMPLANTCAST ITALIA SRL</v>
      </c>
      <c r="F533" s="13" t="s">
        <v>14</v>
      </c>
      <c r="G533" s="15">
        <v>363.58</v>
      </c>
    </row>
    <row r="534" spans="1:7" ht="33.75" x14ac:dyDescent="0.25">
      <c r="A534" s="13">
        <v>12892</v>
      </c>
      <c r="B534" s="14">
        <v>43411.50267361111</v>
      </c>
      <c r="C534" s="13" t="s">
        <v>10</v>
      </c>
      <c r="D534" s="13" t="str">
        <f>"PRESIDI MEDICO-CHIRURGICI GENERICI E AUSILI TECNICI PER DISABILI M"</f>
        <v>PRESIDI MEDICO-CHIRURGICI GENERICI E AUSILI TECNICI PER DISABILI M</v>
      </c>
      <c r="E534" s="13" t="str">
        <f>"MONDOMED ITALIA SRL"</f>
        <v>MONDOMED ITALIA SRL</v>
      </c>
      <c r="F534" s="13" t="s">
        <v>14</v>
      </c>
      <c r="G534" s="15">
        <v>10031.5</v>
      </c>
    </row>
    <row r="535" spans="1:7" ht="22.5" x14ac:dyDescent="0.25">
      <c r="A535" s="13">
        <v>12893</v>
      </c>
      <c r="B535" s="14">
        <v>43411.502685185187</v>
      </c>
      <c r="C535" s="13" t="s">
        <v>10</v>
      </c>
      <c r="D535" s="13" t="str">
        <f>"CANCELLERIA E SUPPORTI MECCANOGRAFICI"</f>
        <v>CANCELLERIA E SUPPORTI MECCANOGRAFICI</v>
      </c>
      <c r="E535" s="13" t="str">
        <f>"PIRRONE SRL"</f>
        <v>PIRRONE SRL</v>
      </c>
      <c r="F535" s="13" t="s">
        <v>14</v>
      </c>
      <c r="G535" s="15">
        <v>242</v>
      </c>
    </row>
    <row r="536" spans="1:7" ht="22.5" x14ac:dyDescent="0.25">
      <c r="A536" s="13">
        <v>12894</v>
      </c>
      <c r="B536" s="14">
        <v>43411.502685185187</v>
      </c>
      <c r="C536" s="13" t="s">
        <v>10</v>
      </c>
      <c r="D536" s="13" t="str">
        <f>"CANCELLERIA E SUPPORTI MECCANOGRAFICI"</f>
        <v>CANCELLERIA E SUPPORTI MECCANOGRAFICI</v>
      </c>
      <c r="E536" s="13" t="str">
        <f>"PIRRONE SRL"</f>
        <v>PIRRONE SRL</v>
      </c>
      <c r="F536" s="13" t="s">
        <v>14</v>
      </c>
      <c r="G536" s="15">
        <v>145.19999999999999</v>
      </c>
    </row>
    <row r="537" spans="1:7" ht="33.75" x14ac:dyDescent="0.25">
      <c r="A537" s="13">
        <v>12895</v>
      </c>
      <c r="B537" s="14">
        <v>43411.502685185187</v>
      </c>
      <c r="C537" s="13" t="s">
        <v>10</v>
      </c>
      <c r="D537" s="13" t="str">
        <f>"DISPOSITIVI DI SOMMINISTRAZIONE, PRELIEVO E RACCOLTA (CIN A)"</f>
        <v>DISPOSITIVI DI SOMMINISTRAZIONE, PRELIEVO E RACCOLTA (CIN A)</v>
      </c>
      <c r="E537" s="13" t="str">
        <f>"MOVI SPA"</f>
        <v>MOVI SPA</v>
      </c>
      <c r="F537" s="13" t="s">
        <v>14</v>
      </c>
      <c r="G537" s="15">
        <v>2140</v>
      </c>
    </row>
    <row r="538" spans="1:7" ht="22.5" x14ac:dyDescent="0.25">
      <c r="A538" s="13">
        <v>12896</v>
      </c>
      <c r="B538" s="14">
        <v>43411.502685185187</v>
      </c>
      <c r="C538" s="13" t="s">
        <v>10</v>
      </c>
      <c r="D538" s="13" t="str">
        <f t="shared" ref="D538:D545" si="33">"FARMACI FILE F"</f>
        <v>FARMACI FILE F</v>
      </c>
      <c r="E538" s="13" t="str">
        <f>"MSD ITALIA SRL"</f>
        <v>MSD ITALIA SRL</v>
      </c>
      <c r="F538" s="13" t="s">
        <v>14</v>
      </c>
      <c r="G538" s="15">
        <v>45766.5</v>
      </c>
    </row>
    <row r="539" spans="1:7" ht="22.5" x14ac:dyDescent="0.25">
      <c r="A539" s="13">
        <v>12897</v>
      </c>
      <c r="B539" s="14">
        <v>43411.502685185187</v>
      </c>
      <c r="C539" s="13" t="s">
        <v>10</v>
      </c>
      <c r="D539" s="13" t="str">
        <f t="shared" si="33"/>
        <v>FARMACI FILE F</v>
      </c>
      <c r="E539" s="13" t="str">
        <f>"MSD ITALIA SRL"</f>
        <v>MSD ITALIA SRL</v>
      </c>
      <c r="F539" s="13" t="s">
        <v>14</v>
      </c>
      <c r="G539" s="15">
        <v>34782.54</v>
      </c>
    </row>
    <row r="540" spans="1:7" ht="22.5" x14ac:dyDescent="0.25">
      <c r="A540" s="13">
        <v>12898</v>
      </c>
      <c r="B540" s="14">
        <v>43411.502685185187</v>
      </c>
      <c r="C540" s="13" t="s">
        <v>10</v>
      </c>
      <c r="D540" s="13" t="str">
        <f t="shared" si="33"/>
        <v>FARMACI FILE F</v>
      </c>
      <c r="E540" s="13" t="str">
        <f>"MUNDIPHARMA PHARMACEUTICALS SRL"</f>
        <v>MUNDIPHARMA PHARMACEUTICALS SRL</v>
      </c>
      <c r="F540" s="13" t="s">
        <v>14</v>
      </c>
      <c r="G540" s="15">
        <v>3326.4</v>
      </c>
    </row>
    <row r="541" spans="1:7" ht="22.5" x14ac:dyDescent="0.25">
      <c r="A541" s="13">
        <v>12899</v>
      </c>
      <c r="B541" s="14">
        <v>43411.502685185187</v>
      </c>
      <c r="C541" s="13" t="s">
        <v>10</v>
      </c>
      <c r="D541" s="13" t="str">
        <f t="shared" si="33"/>
        <v>FARMACI FILE F</v>
      </c>
      <c r="E541" s="13" t="str">
        <f>"MUNDIPHARMA PHARMACEUTICALS SRL"</f>
        <v>MUNDIPHARMA PHARMACEUTICALS SRL</v>
      </c>
      <c r="F541" s="13" t="s">
        <v>14</v>
      </c>
      <c r="G541" s="15">
        <v>12870</v>
      </c>
    </row>
    <row r="542" spans="1:7" ht="22.5" x14ac:dyDescent="0.25">
      <c r="A542" s="13">
        <v>12900</v>
      </c>
      <c r="B542" s="14">
        <v>43411.502685185187</v>
      </c>
      <c r="C542" s="13" t="s">
        <v>10</v>
      </c>
      <c r="D542" s="13" t="str">
        <f t="shared" si="33"/>
        <v>FARMACI FILE F</v>
      </c>
      <c r="E542" s="13" t="str">
        <f>"MUNDIPHARMA PHARMACEUTICALS SRL"</f>
        <v>MUNDIPHARMA PHARMACEUTICALS SRL</v>
      </c>
      <c r="F542" s="13" t="s">
        <v>14</v>
      </c>
      <c r="G542" s="15">
        <v>6084</v>
      </c>
    </row>
    <row r="543" spans="1:7" ht="22.5" x14ac:dyDescent="0.25">
      <c r="A543" s="13">
        <v>12901</v>
      </c>
      <c r="B543" s="14">
        <v>43411.502685185187</v>
      </c>
      <c r="C543" s="13" t="s">
        <v>10</v>
      </c>
      <c r="D543" s="13" t="str">
        <f t="shared" si="33"/>
        <v>FARMACI FILE F</v>
      </c>
      <c r="E543" s="13" t="str">
        <f>"MUNDIPHARMA PHARMACEUTICALS SRL"</f>
        <v>MUNDIPHARMA PHARMACEUTICALS SRL</v>
      </c>
      <c r="F543" s="13" t="s">
        <v>14</v>
      </c>
      <c r="G543" s="15">
        <v>5616</v>
      </c>
    </row>
    <row r="544" spans="1:7" ht="22.5" x14ac:dyDescent="0.25">
      <c r="A544" s="13">
        <v>12902</v>
      </c>
      <c r="B544" s="14">
        <v>43411.502685185187</v>
      </c>
      <c r="C544" s="13" t="s">
        <v>10</v>
      </c>
      <c r="D544" s="13" t="str">
        <f t="shared" si="33"/>
        <v>FARMACI FILE F</v>
      </c>
      <c r="E544" s="13" t="str">
        <f>"MUNDIPHARMA PHARMACEUTICALS SRL"</f>
        <v>MUNDIPHARMA PHARMACEUTICALS SRL</v>
      </c>
      <c r="F544" s="13" t="s">
        <v>14</v>
      </c>
      <c r="G544" s="15">
        <v>11700</v>
      </c>
    </row>
    <row r="545" spans="1:7" ht="22.5" x14ac:dyDescent="0.25">
      <c r="A545" s="13">
        <v>12903</v>
      </c>
      <c r="B545" s="14">
        <v>43411.502685185187</v>
      </c>
      <c r="C545" s="13" t="s">
        <v>10</v>
      </c>
      <c r="D545" s="13" t="str">
        <f t="shared" si="33"/>
        <v>FARMACI FILE F</v>
      </c>
      <c r="E545" s="13" t="str">
        <f>"PFIZER ITALIA SRL"</f>
        <v>PFIZER ITALIA SRL</v>
      </c>
      <c r="F545" s="13" t="s">
        <v>14</v>
      </c>
      <c r="G545" s="15">
        <v>1314</v>
      </c>
    </row>
    <row r="546" spans="1:7" ht="22.5" x14ac:dyDescent="0.25">
      <c r="A546" s="13">
        <v>12904</v>
      </c>
      <c r="B546" s="14">
        <v>43411.502685185187</v>
      </c>
      <c r="C546" s="13" t="s">
        <v>10</v>
      </c>
      <c r="D546" s="13" t="str">
        <f>"MATERIALE PROTESICO"</f>
        <v>MATERIALE PROTESICO</v>
      </c>
      <c r="E546" s="13" t="str">
        <f>"ORTHOFIX SRL"</f>
        <v>ORTHOFIX SRL</v>
      </c>
      <c r="F546" s="13" t="s">
        <v>14</v>
      </c>
      <c r="G546" s="15">
        <v>1975</v>
      </c>
    </row>
    <row r="547" spans="1:7" ht="33.75" x14ac:dyDescent="0.25">
      <c r="A547" s="13">
        <v>12905</v>
      </c>
      <c r="B547" s="14">
        <v>43411.502685185187</v>
      </c>
      <c r="C547" s="13" t="s">
        <v>10</v>
      </c>
      <c r="D547" s="13" t="str">
        <f>"PRESIDI MEDICO-CHIRURGICI GENERICI E AUSILI TECNICI PER DISABILI M"</f>
        <v>PRESIDI MEDICO-CHIRURGICI GENERICI E AUSILI TECNICI PER DISABILI M</v>
      </c>
      <c r="E547" s="13" t="str">
        <f>"PIKDARE SRL"</f>
        <v>PIKDARE SRL</v>
      </c>
      <c r="F547" s="13" t="s">
        <v>14</v>
      </c>
      <c r="G547" s="15">
        <v>345</v>
      </c>
    </row>
    <row r="548" spans="1:7" ht="22.5" x14ac:dyDescent="0.25">
      <c r="A548" s="13">
        <v>12906</v>
      </c>
      <c r="B548" s="14">
        <v>43411.502685185187</v>
      </c>
      <c r="C548" s="13" t="s">
        <v>10</v>
      </c>
      <c r="D548" s="13" t="str">
        <f t="shared" ref="D548:D553" si="34">"PRODOTTI FARMACEUTICI CON AIC"</f>
        <v>PRODOTTI FARMACEUTICI CON AIC</v>
      </c>
      <c r="E548" s="13" t="str">
        <f>"MSD ITALIA SRL"</f>
        <v>MSD ITALIA SRL</v>
      </c>
      <c r="F548" s="13" t="s">
        <v>14</v>
      </c>
      <c r="G548" s="15">
        <v>1335.7</v>
      </c>
    </row>
    <row r="549" spans="1:7" ht="22.5" x14ac:dyDescent="0.25">
      <c r="A549" s="13">
        <v>12907</v>
      </c>
      <c r="B549" s="14">
        <v>43411.502685185187</v>
      </c>
      <c r="C549" s="13" t="s">
        <v>10</v>
      </c>
      <c r="D549" s="13" t="str">
        <f t="shared" si="34"/>
        <v>PRODOTTI FARMACEUTICI CON AIC</v>
      </c>
      <c r="E549" s="13" t="str">
        <f>"MUNDIPHARMA PHARMACEUTICALS SRL"</f>
        <v>MUNDIPHARMA PHARMACEUTICALS SRL</v>
      </c>
      <c r="F549" s="13" t="s">
        <v>14</v>
      </c>
      <c r="G549" s="15">
        <v>376.85</v>
      </c>
    </row>
    <row r="550" spans="1:7" ht="22.5" x14ac:dyDescent="0.25">
      <c r="A550" s="13">
        <v>12908</v>
      </c>
      <c r="B550" s="14">
        <v>43411.502685185187</v>
      </c>
      <c r="C550" s="13" t="s">
        <v>10</v>
      </c>
      <c r="D550" s="13" t="str">
        <f t="shared" si="34"/>
        <v>PRODOTTI FARMACEUTICI CON AIC</v>
      </c>
      <c r="E550" s="13" t="str">
        <f>"PFIZER ITALIA SRL"</f>
        <v>PFIZER ITALIA SRL</v>
      </c>
      <c r="F550" s="13" t="s">
        <v>14</v>
      </c>
      <c r="G550" s="15">
        <v>912</v>
      </c>
    </row>
    <row r="551" spans="1:7" ht="22.5" x14ac:dyDescent="0.25">
      <c r="A551" s="13">
        <v>12909</v>
      </c>
      <c r="B551" s="14">
        <v>43411.502685185187</v>
      </c>
      <c r="C551" s="13" t="s">
        <v>10</v>
      </c>
      <c r="D551" s="13" t="str">
        <f t="shared" si="34"/>
        <v>PRODOTTI FARMACEUTICI CON AIC</v>
      </c>
      <c r="E551" s="13" t="str">
        <f>"PFIZER ITALIA SRL"</f>
        <v>PFIZER ITALIA SRL</v>
      </c>
      <c r="F551" s="13" t="s">
        <v>14</v>
      </c>
      <c r="G551" s="15">
        <v>320.7</v>
      </c>
    </row>
    <row r="552" spans="1:7" ht="22.5" x14ac:dyDescent="0.25">
      <c r="A552" s="13">
        <v>12910</v>
      </c>
      <c r="B552" s="14">
        <v>43411.502685185187</v>
      </c>
      <c r="C552" s="13" t="s">
        <v>10</v>
      </c>
      <c r="D552" s="13" t="str">
        <f t="shared" si="34"/>
        <v>PRODOTTI FARMACEUTICI CON AIC</v>
      </c>
      <c r="E552" s="13" t="str">
        <f>"PHARMATEX ITALIA SRL a Socio Unico"</f>
        <v>PHARMATEX ITALIA SRL a Socio Unico</v>
      </c>
      <c r="F552" s="13" t="s">
        <v>14</v>
      </c>
      <c r="G552" s="15">
        <v>746.93</v>
      </c>
    </row>
    <row r="553" spans="1:7" ht="22.5" x14ac:dyDescent="0.25">
      <c r="A553" s="13">
        <v>12911</v>
      </c>
      <c r="B553" s="14">
        <v>43411.502685185187</v>
      </c>
      <c r="C553" s="13" t="s">
        <v>10</v>
      </c>
      <c r="D553" s="13" t="str">
        <f t="shared" si="34"/>
        <v>PRODOTTI FARMACEUTICI CON AIC</v>
      </c>
      <c r="E553" s="13" t="str">
        <f>"PHARMATEX ITALIA SRL a Socio Unico"</f>
        <v>PHARMATEX ITALIA SRL a Socio Unico</v>
      </c>
      <c r="F553" s="13" t="s">
        <v>14</v>
      </c>
      <c r="G553" s="15">
        <v>516</v>
      </c>
    </row>
    <row r="554" spans="1:7" ht="22.5" x14ac:dyDescent="0.25">
      <c r="A554" s="13">
        <v>12912</v>
      </c>
      <c r="B554" s="14">
        <v>43411.502685185187</v>
      </c>
      <c r="C554" s="13" t="s">
        <v>10</v>
      </c>
      <c r="D554" s="13" t="str">
        <f>"SERVIZIO CUCINA GORLA"</f>
        <v>SERVIZIO CUCINA GORLA</v>
      </c>
      <c r="E554" s="13" t="str">
        <f>"SARCA CATERING SRL a Socio Unico"</f>
        <v>SARCA CATERING SRL a Socio Unico</v>
      </c>
      <c r="F554" s="13" t="s">
        <v>17</v>
      </c>
      <c r="G554" s="15">
        <v>19311.96</v>
      </c>
    </row>
    <row r="555" spans="1:7" ht="22.5" x14ac:dyDescent="0.25">
      <c r="A555" s="13">
        <v>12913</v>
      </c>
      <c r="B555" s="14">
        <v>43411.502685185187</v>
      </c>
      <c r="C555" s="13" t="s">
        <v>10</v>
      </c>
      <c r="D555" s="13" t="str">
        <f>"SERVIZIO CUCINA GORLA"</f>
        <v>SERVIZIO CUCINA GORLA</v>
      </c>
      <c r="E555" s="13" t="str">
        <f>"SARCA CATERING SRL a Socio Unico"</f>
        <v>SARCA CATERING SRL a Socio Unico</v>
      </c>
      <c r="F555" s="13" t="s">
        <v>17</v>
      </c>
      <c r="G555" s="15">
        <v>58.33</v>
      </c>
    </row>
    <row r="556" spans="1:7" ht="22.5" x14ac:dyDescent="0.25">
      <c r="A556" s="13">
        <v>12914</v>
      </c>
      <c r="B556" s="14">
        <v>43411.502685185187</v>
      </c>
      <c r="C556" s="13" t="s">
        <v>10</v>
      </c>
      <c r="D556" s="13" t="str">
        <f>"SERVIZIO CUCINA GORLA"</f>
        <v>SERVIZIO CUCINA GORLA</v>
      </c>
      <c r="E556" s="13" t="str">
        <f>"SARCA CATERING SRL a Socio Unico"</f>
        <v>SARCA CATERING SRL a Socio Unico</v>
      </c>
      <c r="F556" s="13" t="s">
        <v>17</v>
      </c>
      <c r="G556" s="15">
        <v>10.85</v>
      </c>
    </row>
    <row r="557" spans="1:7" ht="22.5" x14ac:dyDescent="0.25">
      <c r="A557" s="13">
        <v>12915</v>
      </c>
      <c r="B557" s="14">
        <v>43411.502696759257</v>
      </c>
      <c r="C557" s="13" t="s">
        <v>10</v>
      </c>
      <c r="D557" s="13" t="str">
        <f>"CANONI NOLEGGIO APPARECCHIATURE SANITARIE"</f>
        <v>CANONI NOLEGGIO APPARECCHIATURE SANITARIE</v>
      </c>
      <c r="E557" s="13" t="str">
        <f>"ROCHE DIAGNOSTICS SPA Societa Unipersonale"</f>
        <v>ROCHE DIAGNOSTICS SPA Societa Unipersonale</v>
      </c>
      <c r="F557" s="13" t="s">
        <v>14</v>
      </c>
      <c r="G557" s="15">
        <v>2585.75</v>
      </c>
    </row>
    <row r="558" spans="1:7" ht="22.5" x14ac:dyDescent="0.25">
      <c r="A558" s="13">
        <v>12916</v>
      </c>
      <c r="B558" s="14">
        <v>43411.502696759257</v>
      </c>
      <c r="C558" s="13" t="s">
        <v>10</v>
      </c>
      <c r="D558" s="13" t="str">
        <f>"MATERIALE DIAGNOSTICO (W)"</f>
        <v>MATERIALE DIAGNOSTICO (W)</v>
      </c>
      <c r="E558" s="13" t="str">
        <f>"ROCHE DIAGNOSTICS SPA Societa Unipersonale"</f>
        <v>ROCHE DIAGNOSTICS SPA Societa Unipersonale</v>
      </c>
      <c r="F558" s="13" t="s">
        <v>14</v>
      </c>
      <c r="G558" s="15">
        <v>3630.72</v>
      </c>
    </row>
    <row r="559" spans="1:7" ht="22.5" x14ac:dyDescent="0.25">
      <c r="A559" s="13">
        <v>12917</v>
      </c>
      <c r="B559" s="14">
        <v>43411.502696759257</v>
      </c>
      <c r="C559" s="13" t="s">
        <v>10</v>
      </c>
      <c r="D559" s="13" t="str">
        <f>"MATERIALE DIAGNOSTICO (W)"</f>
        <v>MATERIALE DIAGNOSTICO (W)</v>
      </c>
      <c r="E559" s="13" t="str">
        <f>"ROCHE DIAGNOSTICS SPA Societa Unipersonale"</f>
        <v>ROCHE DIAGNOSTICS SPA Societa Unipersonale</v>
      </c>
      <c r="F559" s="13" t="s">
        <v>14</v>
      </c>
      <c r="G559" s="15">
        <v>2975</v>
      </c>
    </row>
    <row r="560" spans="1:7" ht="22.5" x14ac:dyDescent="0.25">
      <c r="A560" s="13">
        <v>12918</v>
      </c>
      <c r="B560" s="14">
        <v>43411.733900462961</v>
      </c>
      <c r="C560" s="13" t="s">
        <v>10</v>
      </c>
      <c r="D560" s="13" t="str">
        <f>"NOTE CREDITO DA EMETTERE"</f>
        <v>NOTE CREDITO DA EMETTERE</v>
      </c>
      <c r="E560" s="13" t="str">
        <f>"MARR SPA"</f>
        <v>MARR SPA</v>
      </c>
      <c r="F560" s="13" t="s">
        <v>14</v>
      </c>
      <c r="G560" s="15">
        <v>-18</v>
      </c>
    </row>
    <row r="561" spans="1:7" ht="22.5" x14ac:dyDescent="0.25">
      <c r="A561" s="13">
        <v>12919</v>
      </c>
      <c r="B561" s="14">
        <v>43411.733900462961</v>
      </c>
      <c r="C561" s="13" t="s">
        <v>10</v>
      </c>
      <c r="D561" s="13" t="str">
        <f>"PRODOTTI ALIMENTARI"</f>
        <v>PRODOTTI ALIMENTARI</v>
      </c>
      <c r="E561" s="13" t="str">
        <f>"MARR SPA"</f>
        <v>MARR SPA</v>
      </c>
      <c r="F561" s="13" t="s">
        <v>14</v>
      </c>
      <c r="G561" s="15">
        <v>799.56</v>
      </c>
    </row>
    <row r="562" spans="1:7" ht="22.5" x14ac:dyDescent="0.25">
      <c r="A562" s="13">
        <v>12920</v>
      </c>
      <c r="B562" s="14">
        <v>43411.733900462961</v>
      </c>
      <c r="C562" s="13" t="s">
        <v>10</v>
      </c>
      <c r="D562" s="13" t="str">
        <f>"PRODOTTI ALIMENTARI"</f>
        <v>PRODOTTI ALIMENTARI</v>
      </c>
      <c r="E562" s="13" t="str">
        <f>"MARR SPA"</f>
        <v>MARR SPA</v>
      </c>
      <c r="F562" s="13" t="s">
        <v>14</v>
      </c>
      <c r="G562" s="15">
        <v>665.06</v>
      </c>
    </row>
    <row r="563" spans="1:7" ht="22.5" x14ac:dyDescent="0.25">
      <c r="A563" s="13">
        <v>12921</v>
      </c>
      <c r="B563" s="14">
        <v>43411.733981481484</v>
      </c>
      <c r="C563" s="13" t="s">
        <v>10</v>
      </c>
      <c r="D563" s="13" t="str">
        <f>"NOTE CREDITO DA EMETTERE"</f>
        <v>NOTE CREDITO DA EMETTERE</v>
      </c>
      <c r="E563" s="13" t="str">
        <f>"SERIST SRL"</f>
        <v>SERIST SRL</v>
      </c>
      <c r="F563" s="13" t="s">
        <v>29</v>
      </c>
      <c r="G563" s="15">
        <v>4035.31</v>
      </c>
    </row>
    <row r="564" spans="1:7" ht="22.5" x14ac:dyDescent="0.25">
      <c r="A564" s="13">
        <v>12922</v>
      </c>
      <c r="B564" s="14">
        <v>43411.733981481484</v>
      </c>
      <c r="C564" s="13" t="s">
        <v>10</v>
      </c>
      <c r="D564" s="13" t="str">
        <f>"NOTE CREDITO DA EMETTERE"</f>
        <v>NOTE CREDITO DA EMETTERE</v>
      </c>
      <c r="E564" s="13" t="str">
        <f>"SERIST SRL"</f>
        <v>SERIST SRL</v>
      </c>
      <c r="F564" s="13" t="s">
        <v>29</v>
      </c>
      <c r="G564" s="15">
        <v>-388.45</v>
      </c>
    </row>
    <row r="565" spans="1:7" ht="22.5" x14ac:dyDescent="0.25">
      <c r="A565" s="13">
        <v>12923</v>
      </c>
      <c r="B565" s="14">
        <v>43411.733981481484</v>
      </c>
      <c r="C565" s="13" t="s">
        <v>10</v>
      </c>
      <c r="D565" s="13" t="str">
        <f>"NOTE CREDITO DA EMETTERE"</f>
        <v>NOTE CREDITO DA EMETTERE</v>
      </c>
      <c r="E565" s="13" t="str">
        <f>"SERIST SRL"</f>
        <v>SERIST SRL</v>
      </c>
      <c r="F565" s="13" t="s">
        <v>29</v>
      </c>
      <c r="G565" s="15">
        <v>-402.16</v>
      </c>
    </row>
    <row r="566" spans="1:7" ht="22.5" x14ac:dyDescent="0.25">
      <c r="A566" s="13">
        <v>12924</v>
      </c>
      <c r="B566" s="14">
        <v>43411.733981481484</v>
      </c>
      <c r="C566" s="13" t="s">
        <v>10</v>
      </c>
      <c r="D566" s="13" t="str">
        <f>"SERVIZIO CUCINA E MENSA (ATTIVITÀ COMMERCIALE)"</f>
        <v>SERVIZIO CUCINA E MENSA (ATTIVITÀ COMMERCIALE)</v>
      </c>
      <c r="E566" s="13" t="str">
        <f>"SERIST SRL"</f>
        <v>SERIST SRL</v>
      </c>
      <c r="F566" s="13" t="s">
        <v>29</v>
      </c>
      <c r="G566" s="15">
        <v>4218.1099999999997</v>
      </c>
    </row>
    <row r="567" spans="1:7" ht="22.5" x14ac:dyDescent="0.25">
      <c r="A567" s="13">
        <v>12925</v>
      </c>
      <c r="B567" s="14">
        <v>43411.733981481484</v>
      </c>
      <c r="C567" s="13" t="s">
        <v>10</v>
      </c>
      <c r="D567" s="13" t="str">
        <f>"SERVIZIO CUCINA E MENSA (ATTIVITÀ COMMERCIALE)"</f>
        <v>SERVIZIO CUCINA E MENSA (ATTIVITÀ COMMERCIALE)</v>
      </c>
      <c r="E567" s="13" t="str">
        <f>"SERIST SRL"</f>
        <v>SERIST SRL</v>
      </c>
      <c r="F567" s="13" t="s">
        <v>29</v>
      </c>
      <c r="G567" s="15">
        <v>2915.66</v>
      </c>
    </row>
    <row r="568" spans="1:7" ht="22.5" x14ac:dyDescent="0.25">
      <c r="A568" s="13">
        <v>12926</v>
      </c>
      <c r="B568" s="14">
        <v>43412.382974537039</v>
      </c>
      <c r="C568" s="13" t="s">
        <v>10</v>
      </c>
      <c r="D568" s="13" t="str">
        <f>"ALTRI CANONI DI NOLEGGIO"</f>
        <v>ALTRI CANONI DI NOLEGGIO</v>
      </c>
      <c r="E568" s="13" t="str">
        <f>"HILL - ROM SPA"</f>
        <v>HILL - ROM SPA</v>
      </c>
      <c r="F568" s="13" t="s">
        <v>14</v>
      </c>
      <c r="G568" s="15">
        <v>473.1</v>
      </c>
    </row>
    <row r="569" spans="1:7" ht="22.5" x14ac:dyDescent="0.25">
      <c r="A569" s="13">
        <v>12927</v>
      </c>
      <c r="B569" s="14">
        <v>43412.382974537039</v>
      </c>
      <c r="C569" s="13" t="s">
        <v>10</v>
      </c>
      <c r="D569" s="13" t="str">
        <f>"ALTRI CANONI DI NOLEGGIO"</f>
        <v>ALTRI CANONI DI NOLEGGIO</v>
      </c>
      <c r="E569" s="13" t="str">
        <f>"HILL - ROM SPA"</f>
        <v>HILL - ROM SPA</v>
      </c>
      <c r="F569" s="13" t="s">
        <v>14</v>
      </c>
      <c r="G569" s="15">
        <v>450.3</v>
      </c>
    </row>
    <row r="570" spans="1:7" ht="22.5" x14ac:dyDescent="0.25">
      <c r="A570" s="13">
        <v>12928</v>
      </c>
      <c r="B570" s="14">
        <v>43412.382974537039</v>
      </c>
      <c r="C570" s="13" t="s">
        <v>10</v>
      </c>
      <c r="D570" s="13" t="str">
        <f>"ALTRI SERVIZI"</f>
        <v>ALTRI SERVIZI</v>
      </c>
      <c r="E570" s="13" t="str">
        <f>"AGFA - GEVAERT SPA"</f>
        <v>AGFA - GEVAERT SPA</v>
      </c>
      <c r="F570" s="13" t="str">
        <f>"ALTRE SPESE PER SERV.NON SANITARI"</f>
        <v>ALTRE SPESE PER SERV.NON SANITARI</v>
      </c>
      <c r="G570" s="15">
        <v>267700</v>
      </c>
    </row>
    <row r="571" spans="1:7" ht="22.5" x14ac:dyDescent="0.25">
      <c r="A571" s="13">
        <v>12929</v>
      </c>
      <c r="B571" s="14">
        <v>43412.382974537039</v>
      </c>
      <c r="C571" s="13" t="s">
        <v>10</v>
      </c>
      <c r="D571" s="13" t="str">
        <f>"ALTRI SERVIZI"</f>
        <v>ALTRI SERVIZI</v>
      </c>
      <c r="E571" s="13" t="str">
        <f>"GARLANDINI ALESSANDRO"</f>
        <v>GARLANDINI ALESSANDRO</v>
      </c>
      <c r="F571" s="13" t="str">
        <f>"ALTRE SPESE PER SERV.NON SANITARI"</f>
        <v>ALTRE SPESE PER SERV.NON SANITARI</v>
      </c>
      <c r="G571" s="15">
        <v>10400</v>
      </c>
    </row>
    <row r="572" spans="1:7" ht="22.5" x14ac:dyDescent="0.25">
      <c r="A572" s="13">
        <v>12930</v>
      </c>
      <c r="B572" s="14">
        <v>43412.382974537039</v>
      </c>
      <c r="C572" s="13" t="s">
        <v>10</v>
      </c>
      <c r="D572" s="13" t="str">
        <f>"CONSULENZE SANITARIE DA PRIVATO"</f>
        <v>CONSULENZE SANITARIE DA PRIVATO</v>
      </c>
      <c r="E572" s="13" t="str">
        <f>"TORGANO GIULIA"</f>
        <v>TORGANO GIULIA</v>
      </c>
      <c r="F572" s="13" t="s">
        <v>24</v>
      </c>
      <c r="G572" s="15">
        <v>834</v>
      </c>
    </row>
    <row r="573" spans="1:7" ht="22.5" x14ac:dyDescent="0.25">
      <c r="A573" s="13">
        <v>12931</v>
      </c>
      <c r="B573" s="14">
        <v>43412.382974537039</v>
      </c>
      <c r="C573" s="13" t="s">
        <v>10</v>
      </c>
      <c r="D573" s="13" t="str">
        <f>"CANONI NOLEGGIO APPARECCHIATURE SANITARIE"</f>
        <v>CANONI NOLEGGIO APPARECCHIATURE SANITARIE</v>
      </c>
      <c r="E573" s="13" t="str">
        <f>"DIESSE DIAGNOSTICA SENESE SPA"</f>
        <v>DIESSE DIAGNOSTICA SENESE SPA</v>
      </c>
      <c r="F573" s="13" t="s">
        <v>14</v>
      </c>
      <c r="G573" s="15">
        <v>343.5</v>
      </c>
    </row>
    <row r="574" spans="1:7" ht="22.5" x14ac:dyDescent="0.25">
      <c r="A574" s="13">
        <v>12932</v>
      </c>
      <c r="B574" s="14">
        <v>43412.382974537039</v>
      </c>
      <c r="C574" s="13" t="s">
        <v>11</v>
      </c>
      <c r="D574" s="13" t="str">
        <f>"FONDO RISCHI FALLIMENTO FARO"</f>
        <v>FONDO RISCHI FALLIMENTO FARO</v>
      </c>
      <c r="E574" s="13" t="str">
        <f>"BARBERIS FRANCO"</f>
        <v>BARBERIS FRANCO</v>
      </c>
      <c r="F574" s="13" t="s">
        <v>15</v>
      </c>
      <c r="G574" s="15">
        <v>4082.97</v>
      </c>
    </row>
    <row r="575" spans="1:7" ht="33.75" x14ac:dyDescent="0.25">
      <c r="A575" s="13">
        <v>12933</v>
      </c>
      <c r="B575" s="14">
        <v>43412.382986111108</v>
      </c>
      <c r="C575" s="13" t="s">
        <v>11</v>
      </c>
      <c r="D575" s="13" t="str">
        <f>"ACCANTONAMENTI PER COPERTURA DIRETTA DAI RISCHI (AUTOASSICURAZIONE)"</f>
        <v>ACCANTONAMENTI PER COPERTURA DIRETTA DAI RISCHI (AUTOASSICURAZIONE)</v>
      </c>
      <c r="E575" s="13" t="str">
        <f>"MORINI OSVALDO"</f>
        <v>MORINI OSVALDO</v>
      </c>
      <c r="F575" s="13" t="s">
        <v>17</v>
      </c>
      <c r="G575" s="15">
        <v>714</v>
      </c>
    </row>
    <row r="576" spans="1:7" ht="33.75" x14ac:dyDescent="0.25">
      <c r="A576" s="13">
        <v>12934</v>
      </c>
      <c r="B576" s="14">
        <v>43412.382986111108</v>
      </c>
      <c r="C576" s="13" t="s">
        <v>10</v>
      </c>
      <c r="D576" s="13" t="str">
        <f>"ONERI STIPENDIALI PERSONALE COMPARTO AMMINISTRATIVO IN COMANDO ASST/ATS REGIONE"</f>
        <v>ONERI STIPENDIALI PERSONALE COMPARTO AMMINISTRATIVO IN COMANDO ASST/ATS REGIONE</v>
      </c>
      <c r="E576" s="13" t="str">
        <f>"ASST DI VIMERCATE"</f>
        <v>ASST DI VIMERCATE</v>
      </c>
      <c r="F576" s="13" t="s">
        <v>24</v>
      </c>
      <c r="G576" s="15">
        <v>8922.42</v>
      </c>
    </row>
    <row r="577" spans="1:7" ht="33.75" x14ac:dyDescent="0.25">
      <c r="A577" s="13">
        <v>12935</v>
      </c>
      <c r="B577" s="14">
        <v>43412.382986111108</v>
      </c>
      <c r="C577" s="13" t="s">
        <v>10</v>
      </c>
      <c r="D577" s="13" t="str">
        <f>"ONERI STIPENDIALI PERSONALE COMPARTO AMMINISTRATIVO IN COMANDO ASST/ATS REGIONE"</f>
        <v>ONERI STIPENDIALI PERSONALE COMPARTO AMMINISTRATIVO IN COMANDO ASST/ATS REGIONE</v>
      </c>
      <c r="E577" s="13" t="str">
        <f>"ASST DI VIMERCATE"</f>
        <v>ASST DI VIMERCATE</v>
      </c>
      <c r="F577" s="13" t="s">
        <v>24</v>
      </c>
      <c r="G577" s="15">
        <v>8922.42</v>
      </c>
    </row>
    <row r="578" spans="1:7" ht="56.25" x14ac:dyDescent="0.25">
      <c r="A578" s="13">
        <v>12936</v>
      </c>
      <c r="B578" s="14">
        <v>43412.382986111108</v>
      </c>
      <c r="C578" s="13" t="s">
        <v>10</v>
      </c>
      <c r="D578" s="13" t="str">
        <f>"INDENNITÀ, RIMBORSO SPESE E ONERI SOCIALI PER IL DIRETTORE GENERALE, SANITARIO, AMMINISTRATIVO E COLLEGIO SINDACALE V/ATS - ASST REGIONE"</f>
        <v>INDENNITÀ, RIMBORSO SPESE E ONERI SOCIALI PER IL DIRETTORE GENERALE, SANITARIO, AMMINISTRATIVO E COLLEGIO SINDACALE V/ATS - ASST REGIONE</v>
      </c>
      <c r="E578" s="13" t="str">
        <f>"ASST DI VIMERCATE"</f>
        <v>ASST DI VIMERCATE</v>
      </c>
      <c r="F578" s="13" t="s">
        <v>24</v>
      </c>
      <c r="G578" s="15">
        <v>3979.11</v>
      </c>
    </row>
    <row r="579" spans="1:7" ht="56.25" x14ac:dyDescent="0.25">
      <c r="A579" s="13">
        <v>12937</v>
      </c>
      <c r="B579" s="14">
        <v>43412.382986111108</v>
      </c>
      <c r="C579" s="13" t="s">
        <v>10</v>
      </c>
      <c r="D579" s="13" t="str">
        <f>"INDENNITÀ, RIMBORSO SPESE E ONERI SOCIALI PER IL DIRETTORE GENERALE, SANITARIO, AMMINISTRATIVO E COLLEGIO SINDACALE V/ATS - ASST REGIONE"</f>
        <v>INDENNITÀ, RIMBORSO SPESE E ONERI SOCIALI PER IL DIRETTORE GENERALE, SANITARIO, AMMINISTRATIVO E COLLEGIO SINDACALE V/ATS - ASST REGIONE</v>
      </c>
      <c r="E579" s="13" t="str">
        <f>"ASST DI VIMERCATE"</f>
        <v>ASST DI VIMERCATE</v>
      </c>
      <c r="F579" s="13" t="s">
        <v>24</v>
      </c>
      <c r="G579" s="15">
        <v>3979.11</v>
      </c>
    </row>
    <row r="580" spans="1:7" ht="56.25" x14ac:dyDescent="0.25">
      <c r="A580" s="13">
        <v>12938</v>
      </c>
      <c r="B580" s="14">
        <v>43412.382986111108</v>
      </c>
      <c r="C580" s="13" t="s">
        <v>10</v>
      </c>
      <c r="D580" s="13" t="str">
        <f>"INDENNITÀ, RIMBORSO SPESE E ONERI SOCIALI PER IL DIRETTORE GENERALE, SANITARIO, AMMINISTRATIVO E COLLEGIO SINDACALE V/ATS - ASST REGIONE"</f>
        <v>INDENNITÀ, RIMBORSO SPESE E ONERI SOCIALI PER IL DIRETTORE GENERALE, SANITARIO, AMMINISTRATIVO E COLLEGIO SINDACALE V/ATS - ASST REGIONE</v>
      </c>
      <c r="E580" s="13" t="str">
        <f>"ASST NORD MILANO"</f>
        <v>ASST NORD MILANO</v>
      </c>
      <c r="F580" s="13" t="s">
        <v>24</v>
      </c>
      <c r="G580" s="15">
        <v>3992.91</v>
      </c>
    </row>
    <row r="581" spans="1:7" ht="56.25" x14ac:dyDescent="0.25">
      <c r="A581" s="13">
        <v>12939</v>
      </c>
      <c r="B581" s="14">
        <v>43412.382986111108</v>
      </c>
      <c r="C581" s="13" t="s">
        <v>10</v>
      </c>
      <c r="D581" s="13" t="str">
        <f>"INDENNITÀ, RIMBORSO SPESE E ONERI SOCIALI PER IL DIRETTORE GENERALE, SANITARIO, AMMINISTRATIVO E COLLEGIO SINDACALE V/ATS - ASST REGIONE"</f>
        <v>INDENNITÀ, RIMBORSO SPESE E ONERI SOCIALI PER IL DIRETTORE GENERALE, SANITARIO, AMMINISTRATIVO E COLLEGIO SINDACALE V/ATS - ASST REGIONE</v>
      </c>
      <c r="E581" s="13" t="str">
        <f>"ASST NORD MILANO"</f>
        <v>ASST NORD MILANO</v>
      </c>
      <c r="F581" s="13" t="s">
        <v>24</v>
      </c>
      <c r="G581" s="15">
        <v>3992.91</v>
      </c>
    </row>
    <row r="582" spans="1:7" ht="22.5" x14ac:dyDescent="0.25">
      <c r="A582" s="13">
        <v>12940</v>
      </c>
      <c r="B582" s="14">
        <v>43412.382986111108</v>
      </c>
      <c r="C582" s="13" t="s">
        <v>10</v>
      </c>
      <c r="D582" s="13" t="str">
        <f>"ALTRI SERVIZI NON SANITARI DA ATS/ASST DELLA REGIONE"</f>
        <v>ALTRI SERVIZI NON SANITARI DA ATS/ASST DELLA REGIONE</v>
      </c>
      <c r="E582" s="13" t="str">
        <f>"ASST RHODENSE"</f>
        <v>ASST RHODENSE</v>
      </c>
      <c r="F582" s="13" t="s">
        <v>24</v>
      </c>
      <c r="G582" s="15">
        <v>7819.5</v>
      </c>
    </row>
    <row r="583" spans="1:7" ht="22.5" x14ac:dyDescent="0.25">
      <c r="A583" s="13">
        <v>12941</v>
      </c>
      <c r="B583" s="14">
        <v>43412.382986111108</v>
      </c>
      <c r="C583" s="13" t="s">
        <v>10</v>
      </c>
      <c r="D583" s="13" t="str">
        <f>"CONSULENZE SANITARIE DA PRIVATO"</f>
        <v>CONSULENZE SANITARIE DA PRIVATO</v>
      </c>
      <c r="E583" s="13" t="str">
        <f>"RADAELLI SIMONE"</f>
        <v>RADAELLI SIMONE</v>
      </c>
      <c r="F583" s="13" t="str">
        <f>"notula prestazione occasionale banca osso"</f>
        <v>notula prestazione occasionale banca osso</v>
      </c>
      <c r="G583" s="15">
        <v>1120</v>
      </c>
    </row>
    <row r="584" spans="1:7" ht="22.5" x14ac:dyDescent="0.25">
      <c r="A584" s="13">
        <v>12942</v>
      </c>
      <c r="B584" s="14">
        <v>43412.382986111108</v>
      </c>
      <c r="C584" s="13" t="s">
        <v>11</v>
      </c>
      <c r="D584" s="13" t="str">
        <f>"FONDO RISCHI"</f>
        <v>FONDO RISCHI</v>
      </c>
      <c r="E584" s="13" t="str">
        <f>"GAROFALO ANDREA"</f>
        <v>GAROFALO ANDREA</v>
      </c>
      <c r="F584" s="13" t="str">
        <f>"Risarcimento danni sinistro"</f>
        <v>Risarcimento danni sinistro</v>
      </c>
      <c r="G584" s="15">
        <v>16000</v>
      </c>
    </row>
    <row r="585" spans="1:7" ht="22.5" x14ac:dyDescent="0.25">
      <c r="A585" s="13">
        <v>12943</v>
      </c>
      <c r="B585" s="14">
        <v>43412.382986111108</v>
      </c>
      <c r="C585" s="13" t="s">
        <v>11</v>
      </c>
      <c r="D585" s="13" t="str">
        <f>"FONDO RISCHI"</f>
        <v>FONDO RISCHI</v>
      </c>
      <c r="E585" s="13" t="str">
        <f>"MORINI OSVALDO"</f>
        <v>MORINI OSVALDO</v>
      </c>
      <c r="F585" s="13" t="s">
        <v>15</v>
      </c>
      <c r="G585" s="15">
        <v>1020</v>
      </c>
    </row>
    <row r="586" spans="1:7" ht="22.5" x14ac:dyDescent="0.25">
      <c r="A586" s="13">
        <v>12944</v>
      </c>
      <c r="B586" s="14">
        <v>43412.382986111108</v>
      </c>
      <c r="C586" s="13" t="s">
        <v>11</v>
      </c>
      <c r="D586" s="13" t="str">
        <f>"FONDO RISCHI"</f>
        <v>FONDO RISCHI</v>
      </c>
      <c r="E586" s="13" t="str">
        <f>"MORINI OSVALDO"</f>
        <v>MORINI OSVALDO</v>
      </c>
      <c r="F586" s="13" t="s">
        <v>15</v>
      </c>
      <c r="G586" s="15">
        <v>612</v>
      </c>
    </row>
    <row r="587" spans="1:7" ht="22.5" x14ac:dyDescent="0.25">
      <c r="A587" s="13">
        <v>12945</v>
      </c>
      <c r="B587" s="14">
        <v>43412.382986111108</v>
      </c>
      <c r="C587" s="13" t="s">
        <v>11</v>
      </c>
      <c r="D587" s="13" t="str">
        <f>"FONDO RISCHI"</f>
        <v>FONDO RISCHI</v>
      </c>
      <c r="E587" s="13" t="str">
        <f>"MORINI OSVALDO"</f>
        <v>MORINI OSVALDO</v>
      </c>
      <c r="F587" s="13" t="s">
        <v>15</v>
      </c>
      <c r="G587" s="15">
        <v>663</v>
      </c>
    </row>
    <row r="588" spans="1:7" ht="56.25" x14ac:dyDescent="0.25">
      <c r="A588" s="13">
        <v>12946</v>
      </c>
      <c r="B588" s="14">
        <v>43412.382986111108</v>
      </c>
      <c r="C588" s="13" t="s">
        <v>11</v>
      </c>
      <c r="D588" s="13" t="str">
        <f>"INDENNITÀ, RIMBORSO SPESE E ONERI SOCIALI PER IL DIRETTORE GENERALE, SANITARIO, AMMINISTRATIVO E COLLEGIO SINDACALE V/ATS - ASST REGIONE"</f>
        <v>INDENNITÀ, RIMBORSO SPESE E ONERI SOCIALI PER IL DIRETTORE GENERALE, SANITARIO, AMMINISTRATIVO E COLLEGIO SINDACALE V/ATS - ASST REGIONE</v>
      </c>
      <c r="E588" s="13" t="str">
        <f>"ASST NORD MILANO"</f>
        <v>ASST NORD MILANO</v>
      </c>
      <c r="F588" s="13" t="s">
        <v>15</v>
      </c>
      <c r="G588" s="15">
        <v>3992.91</v>
      </c>
    </row>
    <row r="589" spans="1:7" ht="22.5" x14ac:dyDescent="0.25">
      <c r="A589" s="13">
        <v>12947</v>
      </c>
      <c r="B589" s="14">
        <v>43412.382986111108</v>
      </c>
      <c r="C589" s="13" t="s">
        <v>11</v>
      </c>
      <c r="D589" s="13" t="str">
        <f>"SPESE LITI E ARBITRAGGI"</f>
        <v>SPESE LITI E ARBITRAGGI</v>
      </c>
      <c r="E589" s="13" t="str">
        <f>"FONDAZIONE FORENSE DI MILANO"</f>
        <v>FONDAZIONE FORENSE DI MILANO</v>
      </c>
      <c r="F589" s="13" t="s">
        <v>14</v>
      </c>
      <c r="G589" s="15">
        <v>40</v>
      </c>
    </row>
    <row r="590" spans="1:7" ht="22.5" x14ac:dyDescent="0.25">
      <c r="A590" s="13">
        <v>12948</v>
      </c>
      <c r="B590" s="14">
        <v>43412.382986111108</v>
      </c>
      <c r="C590" s="13" t="s">
        <v>11</v>
      </c>
      <c r="D590" s="13" t="str">
        <f>"SPESE LITI E ARBITRAGGI"</f>
        <v>SPESE LITI E ARBITRAGGI</v>
      </c>
      <c r="E590" s="13" t="str">
        <f>"FONDAZIONE FORENSE DI MILANO"</f>
        <v>FONDAZIONE FORENSE DI MILANO</v>
      </c>
      <c r="F590" s="13" t="s">
        <v>14</v>
      </c>
      <c r="G590" s="15">
        <v>665</v>
      </c>
    </row>
    <row r="591" spans="1:7" ht="22.5" x14ac:dyDescent="0.25">
      <c r="A591" s="13">
        <v>12949</v>
      </c>
      <c r="B591" s="14">
        <v>43412.382997685185</v>
      </c>
      <c r="C591" s="13" t="s">
        <v>11</v>
      </c>
      <c r="D591" s="13" t="str">
        <f>"FONDO RISCHI"</f>
        <v>FONDO RISCHI</v>
      </c>
      <c r="E591" s="13" t="str">
        <f>"BUONO LUIGIA ADELE"</f>
        <v>BUONO LUIGIA ADELE</v>
      </c>
      <c r="F591" s="13" t="str">
        <f>"Risarcimento danni sinistro "</f>
        <v xml:space="preserve">Risarcimento danni sinistro </v>
      </c>
      <c r="G591" s="15">
        <v>504</v>
      </c>
    </row>
    <row r="592" spans="1:7" ht="22.5" x14ac:dyDescent="0.25">
      <c r="A592" s="13">
        <v>12950</v>
      </c>
      <c r="B592" s="14">
        <v>43412.382997685185</v>
      </c>
      <c r="C592" s="13" t="s">
        <v>11</v>
      </c>
      <c r="D592" s="13" t="str">
        <f>"FONDO RISCHI"</f>
        <v>FONDO RISCHI</v>
      </c>
      <c r="E592" s="13" t="str">
        <f>"SABBADINI ROBERTA"</f>
        <v>SABBADINI ROBERTA</v>
      </c>
      <c r="F592" s="13" t="str">
        <f>"Risarcimento danni sinistro"</f>
        <v>Risarcimento danni sinistro</v>
      </c>
      <c r="G592" s="15">
        <v>13000</v>
      </c>
    </row>
    <row r="593" spans="1:7" ht="22.5" x14ac:dyDescent="0.25">
      <c r="A593" s="13">
        <v>12951</v>
      </c>
      <c r="B593" s="14">
        <v>43412.6715625</v>
      </c>
      <c r="C593" s="13" t="s">
        <v>11</v>
      </c>
      <c r="D593" s="13" t="str">
        <f>"SPESE GESTIONE PATRIMONIO"</f>
        <v>SPESE GESTIONE PATRIMONIO</v>
      </c>
      <c r="E593" s="13" t="str">
        <f>"CONDOMINIO VIALE TIBALDI 42"</f>
        <v>CONDOMINIO VIALE TIBALDI 42</v>
      </c>
      <c r="F593" s="13" t="str">
        <f>"Acconto spese 2018/2019"</f>
        <v>Acconto spese 2018/2019</v>
      </c>
      <c r="G593" s="15">
        <v>476.79</v>
      </c>
    </row>
    <row r="594" spans="1:7" ht="22.5" x14ac:dyDescent="0.25">
      <c r="A594" s="13">
        <v>12952</v>
      </c>
      <c r="B594" s="14">
        <v>43412.671574074076</v>
      </c>
      <c r="C594" s="13" t="s">
        <v>11</v>
      </c>
      <c r="D594" s="13" t="str">
        <f>"FONDO RISCHI FALLIMENTO FARO"</f>
        <v>FONDO RISCHI FALLIMENTO FARO</v>
      </c>
      <c r="E594" s="13" t="str">
        <f>"AGENZIA DELLE ENTRATE - UFFICIO PROVINCIALE DI MILANO - TERRITORIO"</f>
        <v>AGENZIA DELLE ENTRATE - UFFICIO PROVINCIALE DI MILANO - TERRITORIO</v>
      </c>
      <c r="F594" s="13" t="s">
        <v>30</v>
      </c>
      <c r="G594" s="15">
        <v>75.77</v>
      </c>
    </row>
    <row r="595" spans="1:7" ht="22.5" x14ac:dyDescent="0.25">
      <c r="A595" s="13">
        <v>12953</v>
      </c>
      <c r="B595" s="14">
        <v>43412.671574074076</v>
      </c>
      <c r="C595" s="13" t="s">
        <v>10</v>
      </c>
      <c r="D595" s="13" t="str">
        <f>"PRESTAZIONI LEGALI E NOTARILI"</f>
        <v>PRESTAZIONI LEGALI E NOTARILI</v>
      </c>
      <c r="E595" s="13" t="str">
        <f>"BARBARA CASTIGLIONI"</f>
        <v>BARBARA CASTIGLIONI</v>
      </c>
      <c r="F595" s="13" t="str">
        <f>"notula 3/18"</f>
        <v>notula 3/18</v>
      </c>
      <c r="G595" s="15">
        <v>800</v>
      </c>
    </row>
    <row r="596" spans="1:7" ht="22.5" x14ac:dyDescent="0.25">
      <c r="A596" s="13">
        <v>12954</v>
      </c>
      <c r="B596" s="14">
        <v>43412.680335648147</v>
      </c>
      <c r="C596" s="13" t="s">
        <v>10</v>
      </c>
      <c r="D596" s="13" t="str">
        <f>"DEPOSITI CAUZIONALI ARMADIETTO/BADGE"</f>
        <v>DEPOSITI CAUZIONALI ARMADIETTO/BADGE</v>
      </c>
      <c r="E596" s="13" t="str">
        <f>"ZUGNI FABIO"</f>
        <v>ZUGNI FABIO</v>
      </c>
      <c r="F596" s="13" t="str">
        <f>"Restituzione deposito cauzionale"</f>
        <v>Restituzione deposito cauzionale</v>
      </c>
      <c r="G596" s="15">
        <v>90</v>
      </c>
    </row>
    <row r="597" spans="1:7" ht="33.75" x14ac:dyDescent="0.25">
      <c r="A597" s="13">
        <v>12955</v>
      </c>
      <c r="B597" s="14">
        <v>43413.673564814817</v>
      </c>
      <c r="C597" s="13" t="s">
        <v>10</v>
      </c>
      <c r="D597" s="13" t="str">
        <f>"PRESIDI MEDICO-CHIRURGICI GENERICI E AUSILI TECNICI PER DISABILI M"</f>
        <v>PRESIDI MEDICO-CHIRURGICI GENERICI E AUSILI TECNICI PER DISABILI M</v>
      </c>
      <c r="E597" s="13" t="str">
        <f>"INTECH SAS"</f>
        <v>INTECH SAS</v>
      </c>
      <c r="F597" s="13" t="s">
        <v>14</v>
      </c>
      <c r="G597" s="15">
        <v>384.62</v>
      </c>
    </row>
    <row r="598" spans="1:7" ht="22.5" x14ac:dyDescent="0.25">
      <c r="A598" s="13">
        <v>12956</v>
      </c>
      <c r="B598" s="14">
        <v>43413.673576388886</v>
      </c>
      <c r="C598" s="13" t="s">
        <v>10</v>
      </c>
      <c r="D598" s="13" t="str">
        <f>"EMODERIVATI"</f>
        <v>EMODERIVATI</v>
      </c>
      <c r="E598" s="13" t="str">
        <f>"IT HEALTH FUSION SRL"</f>
        <v>IT HEALTH FUSION SRL</v>
      </c>
      <c r="F598" s="13" t="s">
        <v>14</v>
      </c>
      <c r="G598" s="15">
        <v>7700</v>
      </c>
    </row>
    <row r="599" spans="1:7" ht="22.5" x14ac:dyDescent="0.25">
      <c r="A599" s="13">
        <v>12957</v>
      </c>
      <c r="B599" s="14">
        <v>43413.673576388886</v>
      </c>
      <c r="C599" s="13" t="s">
        <v>10</v>
      </c>
      <c r="D599" s="13" t="str">
        <f t="shared" ref="D599:D611" si="35">"MATERIALE PROTESICO"</f>
        <v>MATERIALE PROTESICO</v>
      </c>
      <c r="E599" s="13" t="str">
        <f>"INTRAUMA SPA"</f>
        <v>INTRAUMA SPA</v>
      </c>
      <c r="F599" s="13" t="s">
        <v>14</v>
      </c>
      <c r="G599" s="15">
        <v>419.94</v>
      </c>
    </row>
    <row r="600" spans="1:7" ht="22.5" x14ac:dyDescent="0.25">
      <c r="A600" s="13">
        <v>12958</v>
      </c>
      <c r="B600" s="14">
        <v>43413.673576388886</v>
      </c>
      <c r="C600" s="13" t="s">
        <v>10</v>
      </c>
      <c r="D600" s="13" t="str">
        <f t="shared" si="35"/>
        <v>MATERIALE PROTESICO</v>
      </c>
      <c r="E600" s="13" t="str">
        <f>"INTRAUMA SPA"</f>
        <v>INTRAUMA SPA</v>
      </c>
      <c r="F600" s="13" t="s">
        <v>14</v>
      </c>
      <c r="G600" s="15">
        <v>453.67</v>
      </c>
    </row>
    <row r="601" spans="1:7" ht="22.5" x14ac:dyDescent="0.25">
      <c r="A601" s="13">
        <v>12959</v>
      </c>
      <c r="B601" s="14">
        <v>43413.673576388886</v>
      </c>
      <c r="C601" s="13" t="s">
        <v>10</v>
      </c>
      <c r="D601" s="13" t="str">
        <f t="shared" si="35"/>
        <v>MATERIALE PROTESICO</v>
      </c>
      <c r="E601" s="13" t="str">
        <f>"INTRAUMA SPA"</f>
        <v>INTRAUMA SPA</v>
      </c>
      <c r="F601" s="13" t="s">
        <v>14</v>
      </c>
      <c r="G601" s="15">
        <v>151.62</v>
      </c>
    </row>
    <row r="602" spans="1:7" ht="22.5" x14ac:dyDescent="0.25">
      <c r="A602" s="13">
        <v>12960</v>
      </c>
      <c r="B602" s="14">
        <v>43413.673576388886</v>
      </c>
      <c r="C602" s="13" t="s">
        <v>10</v>
      </c>
      <c r="D602" s="13" t="str">
        <f t="shared" si="35"/>
        <v>MATERIALE PROTESICO</v>
      </c>
      <c r="E602" s="13" t="str">
        <f t="shared" ref="E602:E611" si="36">"JOHNSON &amp; JOHNSON MEDICAL SPA"</f>
        <v>JOHNSON &amp; JOHNSON MEDICAL SPA</v>
      </c>
      <c r="F602" s="13" t="s">
        <v>14</v>
      </c>
      <c r="G602" s="15">
        <v>71.02</v>
      </c>
    </row>
    <row r="603" spans="1:7" ht="22.5" x14ac:dyDescent="0.25">
      <c r="A603" s="13">
        <v>12961</v>
      </c>
      <c r="B603" s="14">
        <v>43413.673576388886</v>
      </c>
      <c r="C603" s="13" t="s">
        <v>10</v>
      </c>
      <c r="D603" s="13" t="str">
        <f t="shared" si="35"/>
        <v>MATERIALE PROTESICO</v>
      </c>
      <c r="E603" s="13" t="str">
        <f t="shared" si="36"/>
        <v>JOHNSON &amp; JOHNSON MEDICAL SPA</v>
      </c>
      <c r="F603" s="13" t="s">
        <v>14</v>
      </c>
      <c r="G603" s="15">
        <v>2898.68</v>
      </c>
    </row>
    <row r="604" spans="1:7" ht="22.5" x14ac:dyDescent="0.25">
      <c r="A604" s="13">
        <v>12962</v>
      </c>
      <c r="B604" s="14">
        <v>43413.673576388886</v>
      </c>
      <c r="C604" s="13" t="s">
        <v>10</v>
      </c>
      <c r="D604" s="13" t="str">
        <f t="shared" si="35"/>
        <v>MATERIALE PROTESICO</v>
      </c>
      <c r="E604" s="13" t="str">
        <f t="shared" si="36"/>
        <v>JOHNSON &amp; JOHNSON MEDICAL SPA</v>
      </c>
      <c r="F604" s="13" t="s">
        <v>14</v>
      </c>
      <c r="G604" s="15">
        <v>185.76</v>
      </c>
    </row>
    <row r="605" spans="1:7" ht="22.5" x14ac:dyDescent="0.25">
      <c r="A605" s="13">
        <v>12963</v>
      </c>
      <c r="B605" s="14">
        <v>43413.673576388886</v>
      </c>
      <c r="C605" s="13" t="s">
        <v>10</v>
      </c>
      <c r="D605" s="13" t="str">
        <f t="shared" si="35"/>
        <v>MATERIALE PROTESICO</v>
      </c>
      <c r="E605" s="13" t="str">
        <f t="shared" si="36"/>
        <v>JOHNSON &amp; JOHNSON MEDICAL SPA</v>
      </c>
      <c r="F605" s="13" t="s">
        <v>14</v>
      </c>
      <c r="G605" s="15">
        <v>2367.4899999999998</v>
      </c>
    </row>
    <row r="606" spans="1:7" ht="22.5" x14ac:dyDescent="0.25">
      <c r="A606" s="13">
        <v>12964</v>
      </c>
      <c r="B606" s="14">
        <v>43413.673576388886</v>
      </c>
      <c r="C606" s="13" t="s">
        <v>10</v>
      </c>
      <c r="D606" s="13" t="str">
        <f t="shared" si="35"/>
        <v>MATERIALE PROTESICO</v>
      </c>
      <c r="E606" s="13" t="str">
        <f t="shared" si="36"/>
        <v>JOHNSON &amp; JOHNSON MEDICAL SPA</v>
      </c>
      <c r="F606" s="13" t="s">
        <v>14</v>
      </c>
      <c r="G606" s="15">
        <v>57.14</v>
      </c>
    </row>
    <row r="607" spans="1:7" ht="22.5" x14ac:dyDescent="0.25">
      <c r="A607" s="13">
        <v>12965</v>
      </c>
      <c r="B607" s="14">
        <v>43413.673576388886</v>
      </c>
      <c r="C607" s="13" t="s">
        <v>10</v>
      </c>
      <c r="D607" s="13" t="str">
        <f t="shared" si="35"/>
        <v>MATERIALE PROTESICO</v>
      </c>
      <c r="E607" s="13" t="str">
        <f t="shared" si="36"/>
        <v>JOHNSON &amp; JOHNSON MEDICAL SPA</v>
      </c>
      <c r="F607" s="13" t="s">
        <v>14</v>
      </c>
      <c r="G607" s="15">
        <v>1195.2</v>
      </c>
    </row>
    <row r="608" spans="1:7" ht="22.5" x14ac:dyDescent="0.25">
      <c r="A608" s="13">
        <v>12966</v>
      </c>
      <c r="B608" s="14">
        <v>43413.673576388886</v>
      </c>
      <c r="C608" s="13" t="s">
        <v>10</v>
      </c>
      <c r="D608" s="13" t="str">
        <f t="shared" si="35"/>
        <v>MATERIALE PROTESICO</v>
      </c>
      <c r="E608" s="13" t="str">
        <f t="shared" si="36"/>
        <v>JOHNSON &amp; JOHNSON MEDICAL SPA</v>
      </c>
      <c r="F608" s="13" t="s">
        <v>14</v>
      </c>
      <c r="G608" s="15">
        <v>166.4</v>
      </c>
    </row>
    <row r="609" spans="1:7" ht="22.5" x14ac:dyDescent="0.25">
      <c r="A609" s="13">
        <v>12967</v>
      </c>
      <c r="B609" s="14">
        <v>43413.673576388886</v>
      </c>
      <c r="C609" s="13" t="s">
        <v>10</v>
      </c>
      <c r="D609" s="13" t="str">
        <f t="shared" si="35"/>
        <v>MATERIALE PROTESICO</v>
      </c>
      <c r="E609" s="13" t="str">
        <f t="shared" si="36"/>
        <v>JOHNSON &amp; JOHNSON MEDICAL SPA</v>
      </c>
      <c r="F609" s="13" t="s">
        <v>14</v>
      </c>
      <c r="G609" s="15">
        <v>160.55000000000001</v>
      </c>
    </row>
    <row r="610" spans="1:7" ht="22.5" x14ac:dyDescent="0.25">
      <c r="A610" s="13">
        <v>12968</v>
      </c>
      <c r="B610" s="14">
        <v>43413.673576388886</v>
      </c>
      <c r="C610" s="13" t="s">
        <v>10</v>
      </c>
      <c r="D610" s="13" t="str">
        <f t="shared" si="35"/>
        <v>MATERIALE PROTESICO</v>
      </c>
      <c r="E610" s="13" t="str">
        <f t="shared" si="36"/>
        <v>JOHNSON &amp; JOHNSON MEDICAL SPA</v>
      </c>
      <c r="F610" s="13" t="s">
        <v>14</v>
      </c>
      <c r="G610" s="15">
        <v>6.5</v>
      </c>
    </row>
    <row r="611" spans="1:7" ht="22.5" x14ac:dyDescent="0.25">
      <c r="A611" s="13">
        <v>12969</v>
      </c>
      <c r="B611" s="14">
        <v>43413.673576388886</v>
      </c>
      <c r="C611" s="13" t="s">
        <v>10</v>
      </c>
      <c r="D611" s="13" t="str">
        <f t="shared" si="35"/>
        <v>MATERIALE PROTESICO</v>
      </c>
      <c r="E611" s="13" t="str">
        <f t="shared" si="36"/>
        <v>JOHNSON &amp; JOHNSON MEDICAL SPA</v>
      </c>
      <c r="F611" s="13" t="s">
        <v>14</v>
      </c>
      <c r="G611" s="15">
        <v>452.68</v>
      </c>
    </row>
    <row r="612" spans="1:7" ht="33.75" x14ac:dyDescent="0.25">
      <c r="A612" s="13">
        <v>12970</v>
      </c>
      <c r="B612" s="14">
        <v>43413.673576388886</v>
      </c>
      <c r="C612" s="13" t="s">
        <v>10</v>
      </c>
      <c r="D612" s="13" t="str">
        <f>"PRESIDI MEDICO-CHIRURGICI GENERICI E AUSILI TECNICI PER DISABILI M"</f>
        <v>PRESIDI MEDICO-CHIRURGICI GENERICI E AUSILI TECNICI PER DISABILI M</v>
      </c>
      <c r="E612" s="13" t="str">
        <f>"ITALSANITARIA SRL"</f>
        <v>ITALSANITARIA SRL</v>
      </c>
      <c r="F612" s="13" t="s">
        <v>14</v>
      </c>
      <c r="G612" s="15">
        <v>1238.4000000000001</v>
      </c>
    </row>
    <row r="613" spans="1:7" ht="33.75" x14ac:dyDescent="0.25">
      <c r="A613" s="13">
        <v>12971</v>
      </c>
      <c r="B613" s="14">
        <v>43413.673576388886</v>
      </c>
      <c r="C613" s="13" t="s">
        <v>10</v>
      </c>
      <c r="D613" s="13" t="str">
        <f>"PRESIDI MEDICO-CHIRURGICI GENERICI E AUSILI TECNICI PER DISABILI M"</f>
        <v>PRESIDI MEDICO-CHIRURGICI GENERICI E AUSILI TECNICI PER DISABILI M</v>
      </c>
      <c r="E613" s="13" t="str">
        <f>"ITALSANITARIA SRL"</f>
        <v>ITALSANITARIA SRL</v>
      </c>
      <c r="F613" s="13" t="s">
        <v>14</v>
      </c>
      <c r="G613" s="15">
        <v>1393.2</v>
      </c>
    </row>
    <row r="614" spans="1:7" ht="22.5" x14ac:dyDescent="0.25">
      <c r="A614" s="13">
        <v>12972</v>
      </c>
      <c r="B614" s="14">
        <v>43413.673587962963</v>
      </c>
      <c r="C614" s="13" t="s">
        <v>10</v>
      </c>
      <c r="D614" s="13" t="str">
        <f>"ALTRI CANONI DI NOLEGGIO"</f>
        <v>ALTRI CANONI DI NOLEGGIO</v>
      </c>
      <c r="E614" s="13" t="str">
        <f>"KYOCERA DOCUMENT SOLUTIONS ITALIA SPA"</f>
        <v>KYOCERA DOCUMENT SOLUTIONS ITALIA SPA</v>
      </c>
      <c r="F614" s="13" t="s">
        <v>14</v>
      </c>
      <c r="G614" s="15">
        <v>481.52</v>
      </c>
    </row>
    <row r="615" spans="1:7" ht="22.5" x14ac:dyDescent="0.25">
      <c r="A615" s="13">
        <v>12973</v>
      </c>
      <c r="B615" s="14">
        <v>43413.673587962963</v>
      </c>
      <c r="C615" s="13" t="s">
        <v>10</v>
      </c>
      <c r="D615" s="13" t="str">
        <f>"ALTRI CANONI DI NOLEGGIO"</f>
        <v>ALTRI CANONI DI NOLEGGIO</v>
      </c>
      <c r="E615" s="13" t="str">
        <f>"KYOCERA DOCUMENT SOLUTIONS ITALIA SPA"</f>
        <v>KYOCERA DOCUMENT SOLUTIONS ITALIA SPA</v>
      </c>
      <c r="F615" s="13" t="s">
        <v>14</v>
      </c>
      <c r="G615" s="15">
        <v>510.93</v>
      </c>
    </row>
    <row r="616" spans="1:7" ht="22.5" x14ac:dyDescent="0.25">
      <c r="A616" s="13">
        <v>12974</v>
      </c>
      <c r="B616" s="14">
        <v>43413.673587962963</v>
      </c>
      <c r="C616" s="13" t="s">
        <v>10</v>
      </c>
      <c r="D616" s="13" t="str">
        <f>"BENI IMPORTO &lt; EURO 309,88 I.C."</f>
        <v>BENI IMPORTO &lt; EURO 309,88 I.C.</v>
      </c>
      <c r="E616" s="13" t="str">
        <f>"L.T. FORM 2 SRL"</f>
        <v>L.T. FORM 2 SRL</v>
      </c>
      <c r="F616" s="13" t="s">
        <v>14</v>
      </c>
      <c r="G616" s="15">
        <v>916</v>
      </c>
    </row>
    <row r="617" spans="1:7" ht="22.5" x14ac:dyDescent="0.25">
      <c r="A617" s="13">
        <v>12975</v>
      </c>
      <c r="B617" s="14">
        <v>43413.673587962963</v>
      </c>
      <c r="C617" s="13" t="s">
        <v>10</v>
      </c>
      <c r="D617" s="13" t="str">
        <f t="shared" ref="D617:D628" si="37">"MATERIALE PROTESICO"</f>
        <v>MATERIALE PROTESICO</v>
      </c>
      <c r="E617" s="13" t="str">
        <f>"JOHNSON &amp; JOHNSON MEDICAL SPA"</f>
        <v>JOHNSON &amp; JOHNSON MEDICAL SPA</v>
      </c>
      <c r="F617" s="13" t="s">
        <v>14</v>
      </c>
      <c r="G617" s="15">
        <v>691.24</v>
      </c>
    </row>
    <row r="618" spans="1:7" ht="22.5" x14ac:dyDescent="0.25">
      <c r="A618" s="13">
        <v>12976</v>
      </c>
      <c r="B618" s="14">
        <v>43413.673587962963</v>
      </c>
      <c r="C618" s="13" t="s">
        <v>10</v>
      </c>
      <c r="D618" s="13" t="str">
        <f t="shared" si="37"/>
        <v>MATERIALE PROTESICO</v>
      </c>
      <c r="E618" s="13" t="str">
        <f>"JOHNSON &amp; JOHNSON MEDICAL SPA"</f>
        <v>JOHNSON &amp; JOHNSON MEDICAL SPA</v>
      </c>
      <c r="F618" s="13" t="s">
        <v>14</v>
      </c>
      <c r="G618" s="15">
        <v>856.91</v>
      </c>
    </row>
    <row r="619" spans="1:7" ht="22.5" x14ac:dyDescent="0.25">
      <c r="A619" s="13">
        <v>12977</v>
      </c>
      <c r="B619" s="14">
        <v>43413.673587962963</v>
      </c>
      <c r="C619" s="13" t="s">
        <v>10</v>
      </c>
      <c r="D619" s="13" t="str">
        <f t="shared" si="37"/>
        <v>MATERIALE PROTESICO</v>
      </c>
      <c r="E619" s="13" t="str">
        <f>"JOHNSON &amp; JOHNSON MEDICAL SPA"</f>
        <v>JOHNSON &amp; JOHNSON MEDICAL SPA</v>
      </c>
      <c r="F619" s="13" t="s">
        <v>14</v>
      </c>
      <c r="G619" s="15">
        <v>528.62</v>
      </c>
    </row>
    <row r="620" spans="1:7" ht="22.5" x14ac:dyDescent="0.25">
      <c r="A620" s="13">
        <v>12978</v>
      </c>
      <c r="B620" s="14">
        <v>43413.673587962963</v>
      </c>
      <c r="C620" s="13" t="s">
        <v>10</v>
      </c>
      <c r="D620" s="13" t="str">
        <f t="shared" si="37"/>
        <v>MATERIALE PROTESICO</v>
      </c>
      <c r="E620" s="13" t="str">
        <f t="shared" ref="E620:E626" si="38">"LIMACORPORATE SPA"</f>
        <v>LIMACORPORATE SPA</v>
      </c>
      <c r="F620" s="13" t="s">
        <v>14</v>
      </c>
      <c r="G620" s="15">
        <v>1486.68</v>
      </c>
    </row>
    <row r="621" spans="1:7" ht="22.5" x14ac:dyDescent="0.25">
      <c r="A621" s="13">
        <v>12979</v>
      </c>
      <c r="B621" s="14">
        <v>43413.673587962963</v>
      </c>
      <c r="C621" s="13" t="s">
        <v>10</v>
      </c>
      <c r="D621" s="13" t="str">
        <f t="shared" si="37"/>
        <v>MATERIALE PROTESICO</v>
      </c>
      <c r="E621" s="13" t="str">
        <f t="shared" si="38"/>
        <v>LIMACORPORATE SPA</v>
      </c>
      <c r="F621" s="13" t="s">
        <v>14</v>
      </c>
      <c r="G621" s="15">
        <v>1486.68</v>
      </c>
    </row>
    <row r="622" spans="1:7" ht="22.5" x14ac:dyDescent="0.25">
      <c r="A622" s="13">
        <v>12980</v>
      </c>
      <c r="B622" s="14">
        <v>43413.673587962963</v>
      </c>
      <c r="C622" s="13" t="s">
        <v>10</v>
      </c>
      <c r="D622" s="13" t="str">
        <f t="shared" si="37"/>
        <v>MATERIALE PROTESICO</v>
      </c>
      <c r="E622" s="13" t="str">
        <f t="shared" si="38"/>
        <v>LIMACORPORATE SPA</v>
      </c>
      <c r="F622" s="13" t="s">
        <v>14</v>
      </c>
      <c r="G622" s="15">
        <v>1486.68</v>
      </c>
    </row>
    <row r="623" spans="1:7" ht="22.5" x14ac:dyDescent="0.25">
      <c r="A623" s="13">
        <v>12981</v>
      </c>
      <c r="B623" s="14">
        <v>43413.673587962963</v>
      </c>
      <c r="C623" s="13" t="s">
        <v>10</v>
      </c>
      <c r="D623" s="13" t="str">
        <f t="shared" si="37"/>
        <v>MATERIALE PROTESICO</v>
      </c>
      <c r="E623" s="13" t="str">
        <f t="shared" si="38"/>
        <v>LIMACORPORATE SPA</v>
      </c>
      <c r="F623" s="13" t="s">
        <v>14</v>
      </c>
      <c r="G623" s="15">
        <v>4608.17</v>
      </c>
    </row>
    <row r="624" spans="1:7" ht="22.5" x14ac:dyDescent="0.25">
      <c r="A624" s="13">
        <v>12982</v>
      </c>
      <c r="B624" s="14">
        <v>43413.673587962963</v>
      </c>
      <c r="C624" s="13" t="s">
        <v>10</v>
      </c>
      <c r="D624" s="13" t="str">
        <f t="shared" si="37"/>
        <v>MATERIALE PROTESICO</v>
      </c>
      <c r="E624" s="13" t="str">
        <f t="shared" si="38"/>
        <v>LIMACORPORATE SPA</v>
      </c>
      <c r="F624" s="13" t="s">
        <v>14</v>
      </c>
      <c r="G624" s="15">
        <v>1383.69</v>
      </c>
    </row>
    <row r="625" spans="1:7" ht="22.5" x14ac:dyDescent="0.25">
      <c r="A625" s="13">
        <v>12983</v>
      </c>
      <c r="B625" s="14">
        <v>43413.673587962963</v>
      </c>
      <c r="C625" s="13" t="s">
        <v>10</v>
      </c>
      <c r="D625" s="13" t="str">
        <f t="shared" si="37"/>
        <v>MATERIALE PROTESICO</v>
      </c>
      <c r="E625" s="13" t="str">
        <f t="shared" si="38"/>
        <v>LIMACORPORATE SPA</v>
      </c>
      <c r="F625" s="13" t="s">
        <v>14</v>
      </c>
      <c r="G625" s="15">
        <v>2809.48</v>
      </c>
    </row>
    <row r="626" spans="1:7" ht="22.5" x14ac:dyDescent="0.25">
      <c r="A626" s="13">
        <v>12984</v>
      </c>
      <c r="B626" s="14">
        <v>43413.673587962963</v>
      </c>
      <c r="C626" s="13" t="s">
        <v>10</v>
      </c>
      <c r="D626" s="13" t="str">
        <f t="shared" si="37"/>
        <v>MATERIALE PROTESICO</v>
      </c>
      <c r="E626" s="13" t="str">
        <f t="shared" si="38"/>
        <v>LIMACORPORATE SPA</v>
      </c>
      <c r="F626" s="13" t="s">
        <v>14</v>
      </c>
      <c r="G626" s="15">
        <v>48.25</v>
      </c>
    </row>
    <row r="627" spans="1:7" ht="22.5" x14ac:dyDescent="0.25">
      <c r="A627" s="13">
        <v>12985</v>
      </c>
      <c r="B627" s="14">
        <v>43413.673587962963</v>
      </c>
      <c r="C627" s="13" t="s">
        <v>10</v>
      </c>
      <c r="D627" s="13" t="str">
        <f t="shared" si="37"/>
        <v>MATERIALE PROTESICO</v>
      </c>
      <c r="E627" s="13" t="str">
        <f>"LINK ITALIA SPA - Socio Unico"</f>
        <v>LINK ITALIA SPA - Socio Unico</v>
      </c>
      <c r="F627" s="13" t="s">
        <v>14</v>
      </c>
      <c r="G627" s="15">
        <v>907.65</v>
      </c>
    </row>
    <row r="628" spans="1:7" ht="22.5" x14ac:dyDescent="0.25">
      <c r="A628" s="13">
        <v>12986</v>
      </c>
      <c r="B628" s="14">
        <v>43413.673587962963</v>
      </c>
      <c r="C628" s="13" t="s">
        <v>10</v>
      </c>
      <c r="D628" s="13" t="str">
        <f t="shared" si="37"/>
        <v>MATERIALE PROTESICO</v>
      </c>
      <c r="E628" s="13" t="str">
        <f>"LINK ITALIA SPA - Socio Unico"</f>
        <v>LINK ITALIA SPA - Socio Unico</v>
      </c>
      <c r="F628" s="13" t="s">
        <v>14</v>
      </c>
      <c r="G628" s="15">
        <v>437.82</v>
      </c>
    </row>
    <row r="629" spans="1:7" ht="33.75" x14ac:dyDescent="0.25">
      <c r="A629" s="13">
        <v>12987</v>
      </c>
      <c r="B629" s="14">
        <v>43413.673587962963</v>
      </c>
      <c r="C629" s="13" t="s">
        <v>10</v>
      </c>
      <c r="D629" s="13" t="str">
        <f>"PRESIDI MEDICO-CHIRURGICI GENERICI E AUSILI TECNICI PER DISABILI M"</f>
        <v>PRESIDI MEDICO-CHIRURGICI GENERICI E AUSILI TECNICI PER DISABILI M</v>
      </c>
      <c r="E629" s="13" t="str">
        <f>"LASER OPTRONIC SRL"</f>
        <v>LASER OPTRONIC SRL</v>
      </c>
      <c r="F629" s="13" t="s">
        <v>14</v>
      </c>
      <c r="G629" s="15">
        <v>4765</v>
      </c>
    </row>
    <row r="630" spans="1:7" ht="33.75" x14ac:dyDescent="0.25">
      <c r="A630" s="13">
        <v>12988</v>
      </c>
      <c r="B630" s="14">
        <v>43413.673587962963</v>
      </c>
      <c r="C630" s="13" t="s">
        <v>10</v>
      </c>
      <c r="D630" s="13" t="str">
        <f>"PRESIDI MEDICO-CHIRURGICI GENERICI E AUSILI TECNICI PER DISABILI T"</f>
        <v>PRESIDI MEDICO-CHIRURGICI GENERICI E AUSILI TECNICI PER DISABILI T</v>
      </c>
      <c r="E630" s="13" t="str">
        <f>"KERNA ITALIA SRL"</f>
        <v>KERNA ITALIA SRL</v>
      </c>
      <c r="F630" s="13" t="s">
        <v>14</v>
      </c>
      <c r="G630" s="15">
        <v>3772</v>
      </c>
    </row>
    <row r="631" spans="1:7" ht="33.75" x14ac:dyDescent="0.25">
      <c r="A631" s="13">
        <v>12989</v>
      </c>
      <c r="B631" s="14">
        <v>43413.673587962963</v>
      </c>
      <c r="C631" s="13" t="s">
        <v>10</v>
      </c>
      <c r="D631" s="13" t="str">
        <f>"PRESIDI MEDICO-CHIRURGICI GENERICI E AUSILI TECNICI PER DISABILI T"</f>
        <v>PRESIDI MEDICO-CHIRURGICI GENERICI E AUSILI TECNICI PER DISABILI T</v>
      </c>
      <c r="E631" s="13" t="str">
        <f>"KERNA ITALIA SRL"</f>
        <v>KERNA ITALIA SRL</v>
      </c>
      <c r="F631" s="13" t="s">
        <v>14</v>
      </c>
      <c r="G631" s="15">
        <v>775</v>
      </c>
    </row>
    <row r="632" spans="1:7" ht="22.5" x14ac:dyDescent="0.25">
      <c r="A632" s="13">
        <v>12990</v>
      </c>
      <c r="B632" s="14">
        <v>43413.673587962963</v>
      </c>
      <c r="C632" s="13" t="s">
        <v>10</v>
      </c>
      <c r="D632" s="13" t="str">
        <f>"PRODOTTI CHIMICI: MATERIALI DIAGNOSTICI (SENZA CND)"</f>
        <v>PRODOTTI CHIMICI: MATERIALI DIAGNOSTICI (SENZA CND)</v>
      </c>
      <c r="E632" s="13" t="str">
        <f>"LEICA MICROSYSTEMS SRL"</f>
        <v>LEICA MICROSYSTEMS SRL</v>
      </c>
      <c r="F632" s="13" t="s">
        <v>14</v>
      </c>
      <c r="G632" s="15">
        <v>403.06</v>
      </c>
    </row>
    <row r="633" spans="1:7" ht="22.5" x14ac:dyDescent="0.25">
      <c r="A633" s="13">
        <v>12991</v>
      </c>
      <c r="B633" s="14">
        <v>43413.673587962963</v>
      </c>
      <c r="C633" s="13" t="s">
        <v>10</v>
      </c>
      <c r="D633" s="13" t="str">
        <f>"SERVIZIO DI PULIZIA E DISINFESTAZIONE"</f>
        <v>SERVIZIO DI PULIZIA E DISINFESTAZIONE</v>
      </c>
      <c r="E633" s="13" t="str">
        <f>"L.T. CENTRO SERVIZI di Lorenzo Toselli"</f>
        <v>L.T. CENTRO SERVIZI di Lorenzo Toselli</v>
      </c>
      <c r="F633" s="13" t="s">
        <v>28</v>
      </c>
      <c r="G633" s="15">
        <v>176.26</v>
      </c>
    </row>
    <row r="634" spans="1:7" ht="22.5" x14ac:dyDescent="0.25">
      <c r="A634" s="13">
        <v>12992</v>
      </c>
      <c r="B634" s="14">
        <v>43413.67359953704</v>
      </c>
      <c r="C634" s="13" t="s">
        <v>10</v>
      </c>
      <c r="D634" s="13" t="str">
        <f>"ALTRO MATERIALE SANITARIO (SENZA CND)"</f>
        <v>ALTRO MATERIALE SANITARIO (SENZA CND)</v>
      </c>
      <c r="E634" s="13" t="str">
        <f>"MEDICAL SPA"</f>
        <v>MEDICAL SPA</v>
      </c>
      <c r="F634" s="13" t="s">
        <v>16</v>
      </c>
      <c r="G634" s="15">
        <v>9000</v>
      </c>
    </row>
    <row r="635" spans="1:7" ht="33.75" x14ac:dyDescent="0.25">
      <c r="A635" s="13">
        <v>12993</v>
      </c>
      <c r="B635" s="14">
        <v>43413.67359953704</v>
      </c>
      <c r="C635" s="13" t="s">
        <v>10</v>
      </c>
      <c r="D635" s="13" t="str">
        <f>"DISINFETTANTI, PRODOTTI PER STERILIZZAZIONE E DISPOSITIVI VARI D"</f>
        <v>DISINFETTANTI, PRODOTTI PER STERILIZZAZIONE E DISPOSITIVI VARI D</v>
      </c>
      <c r="E635" s="13" t="str">
        <f>"LOMBARDA H SRL"</f>
        <v>LOMBARDA H SRL</v>
      </c>
      <c r="F635" s="13" t="s">
        <v>14</v>
      </c>
      <c r="G635" s="15">
        <v>294</v>
      </c>
    </row>
    <row r="636" spans="1:7" ht="22.5" x14ac:dyDescent="0.25">
      <c r="A636" s="13">
        <v>12994</v>
      </c>
      <c r="B636" s="14">
        <v>43413.67359953704</v>
      </c>
      <c r="C636" s="13" t="s">
        <v>10</v>
      </c>
      <c r="D636" s="13" t="str">
        <f t="shared" ref="D636:D650" si="39">"MATERIALE PROTESICO"</f>
        <v>MATERIALE PROTESICO</v>
      </c>
      <c r="E636" s="13" t="str">
        <f>"LINK ITALIA SPA - Socio Unico"</f>
        <v>LINK ITALIA SPA - Socio Unico</v>
      </c>
      <c r="F636" s="13" t="s">
        <v>14</v>
      </c>
      <c r="G636" s="15">
        <v>2845.7</v>
      </c>
    </row>
    <row r="637" spans="1:7" ht="22.5" x14ac:dyDescent="0.25">
      <c r="A637" s="13">
        <v>12995</v>
      </c>
      <c r="B637" s="14">
        <v>43413.67359953704</v>
      </c>
      <c r="C637" s="13" t="s">
        <v>10</v>
      </c>
      <c r="D637" s="13" t="str">
        <f t="shared" si="39"/>
        <v>MATERIALE PROTESICO</v>
      </c>
      <c r="E637" s="13" t="str">
        <f>"LINK ITALIA SPA - Socio Unico"</f>
        <v>LINK ITALIA SPA - Socio Unico</v>
      </c>
      <c r="F637" s="13" t="s">
        <v>14</v>
      </c>
      <c r="G637" s="15">
        <v>2437.35</v>
      </c>
    </row>
    <row r="638" spans="1:7" ht="22.5" x14ac:dyDescent="0.25">
      <c r="A638" s="13">
        <v>12996</v>
      </c>
      <c r="B638" s="14">
        <v>43413.67359953704</v>
      </c>
      <c r="C638" s="13" t="s">
        <v>10</v>
      </c>
      <c r="D638" s="13" t="str">
        <f t="shared" si="39"/>
        <v>MATERIALE PROTESICO</v>
      </c>
      <c r="E638" s="13" t="str">
        <f>"LINK ITALIA SPA - Socio Unico"</f>
        <v>LINK ITALIA SPA - Socio Unico</v>
      </c>
      <c r="F638" s="13" t="s">
        <v>14</v>
      </c>
      <c r="G638" s="15">
        <v>2437.35</v>
      </c>
    </row>
    <row r="639" spans="1:7" ht="22.5" x14ac:dyDescent="0.25">
      <c r="A639" s="13">
        <v>12997</v>
      </c>
      <c r="B639" s="14">
        <v>43413.67359953704</v>
      </c>
      <c r="C639" s="13" t="s">
        <v>10</v>
      </c>
      <c r="D639" s="13" t="str">
        <f t="shared" si="39"/>
        <v>MATERIALE PROTESICO</v>
      </c>
      <c r="E639" s="13" t="str">
        <f>"LINK ITALIA SPA - Socio Unico"</f>
        <v>LINK ITALIA SPA - Socio Unico</v>
      </c>
      <c r="F639" s="13" t="s">
        <v>14</v>
      </c>
      <c r="G639" s="15">
        <v>966</v>
      </c>
    </row>
    <row r="640" spans="1:7" ht="22.5" x14ac:dyDescent="0.25">
      <c r="A640" s="13">
        <v>12998</v>
      </c>
      <c r="B640" s="14">
        <v>43413.67359953704</v>
      </c>
      <c r="C640" s="13" t="s">
        <v>10</v>
      </c>
      <c r="D640" s="13" t="str">
        <f t="shared" si="39"/>
        <v>MATERIALE PROTESICO</v>
      </c>
      <c r="E640" s="13" t="str">
        <f>"M.I.T. SRL - MEDICAL INNOVATIVE TECHNOLOGY ITALIA"</f>
        <v>M.I.T. SRL - MEDICAL INNOVATIVE TECHNOLOGY ITALIA</v>
      </c>
      <c r="F640" s="13" t="s">
        <v>14</v>
      </c>
      <c r="G640" s="15">
        <v>1786.69</v>
      </c>
    </row>
    <row r="641" spans="1:7" ht="22.5" x14ac:dyDescent="0.25">
      <c r="A641" s="13">
        <v>12999</v>
      </c>
      <c r="B641" s="14">
        <v>43413.67359953704</v>
      </c>
      <c r="C641" s="13" t="s">
        <v>10</v>
      </c>
      <c r="D641" s="13" t="str">
        <f t="shared" si="39"/>
        <v>MATERIALE PROTESICO</v>
      </c>
      <c r="E641" s="13" t="str">
        <f>"M.I.T. SRL - MEDICAL INNOVATIVE TECHNOLOGY ITALIA"</f>
        <v>M.I.T. SRL - MEDICAL INNOVATIVE TECHNOLOGY ITALIA</v>
      </c>
      <c r="F641" s="13" t="s">
        <v>14</v>
      </c>
      <c r="G641" s="15">
        <v>1640.89</v>
      </c>
    </row>
    <row r="642" spans="1:7" ht="22.5" x14ac:dyDescent="0.25">
      <c r="A642" s="13">
        <v>13000</v>
      </c>
      <c r="B642" s="14">
        <v>43413.67359953704</v>
      </c>
      <c r="C642" s="13" t="s">
        <v>10</v>
      </c>
      <c r="D642" s="13" t="str">
        <f t="shared" si="39"/>
        <v>MATERIALE PROTESICO</v>
      </c>
      <c r="E642" s="13" t="str">
        <f>"M.I.T. SRL - MEDICAL INNOVATIVE TECHNOLOGY ITALIA"</f>
        <v>M.I.T. SRL - MEDICAL INNOVATIVE TECHNOLOGY ITALIA</v>
      </c>
      <c r="F642" s="13" t="s">
        <v>14</v>
      </c>
      <c r="G642" s="15">
        <v>1640.89</v>
      </c>
    </row>
    <row r="643" spans="1:7" ht="22.5" x14ac:dyDescent="0.25">
      <c r="A643" s="13">
        <v>13001</v>
      </c>
      <c r="B643" s="14">
        <v>43413.67359953704</v>
      </c>
      <c r="C643" s="13" t="s">
        <v>10</v>
      </c>
      <c r="D643" s="13" t="str">
        <f t="shared" si="39"/>
        <v>MATERIALE PROTESICO</v>
      </c>
      <c r="E643" s="13" t="str">
        <f>"M.I.T. SRL - MEDICAL INNOVATIVE TECHNOLOGY ITALIA"</f>
        <v>M.I.T. SRL - MEDICAL INNOVATIVE TECHNOLOGY ITALIA</v>
      </c>
      <c r="F643" s="13" t="s">
        <v>14</v>
      </c>
      <c r="G643" s="15">
        <v>1641.34</v>
      </c>
    </row>
    <row r="644" spans="1:7" ht="22.5" x14ac:dyDescent="0.25">
      <c r="A644" s="13">
        <v>13002</v>
      </c>
      <c r="B644" s="14">
        <v>43413.67359953704</v>
      </c>
      <c r="C644" s="13" t="s">
        <v>10</v>
      </c>
      <c r="D644" s="13" t="str">
        <f t="shared" si="39"/>
        <v>MATERIALE PROTESICO</v>
      </c>
      <c r="E644" s="13" t="str">
        <f>"MBA ITALIA SRL"</f>
        <v>MBA ITALIA SRL</v>
      </c>
      <c r="F644" s="13" t="s">
        <v>14</v>
      </c>
      <c r="G644" s="15">
        <v>6261</v>
      </c>
    </row>
    <row r="645" spans="1:7" ht="22.5" x14ac:dyDescent="0.25">
      <c r="A645" s="13">
        <v>13003</v>
      </c>
      <c r="B645" s="14">
        <v>43413.67359953704</v>
      </c>
      <c r="C645" s="13" t="s">
        <v>10</v>
      </c>
      <c r="D645" s="13" t="str">
        <f t="shared" si="39"/>
        <v>MATERIALE PROTESICO</v>
      </c>
      <c r="E645" s="13" t="str">
        <f t="shared" ref="E645:E650" si="40">"MEDACTA ITALIA SRL a Socio Unico"</f>
        <v>MEDACTA ITALIA SRL a Socio Unico</v>
      </c>
      <c r="F645" s="13" t="s">
        <v>14</v>
      </c>
      <c r="G645" s="15">
        <v>2552.4499999999998</v>
      </c>
    </row>
    <row r="646" spans="1:7" ht="22.5" x14ac:dyDescent="0.25">
      <c r="A646" s="13">
        <v>13004</v>
      </c>
      <c r="B646" s="14">
        <v>43413.67359953704</v>
      </c>
      <c r="C646" s="13" t="s">
        <v>10</v>
      </c>
      <c r="D646" s="13" t="str">
        <f t="shared" si="39"/>
        <v>MATERIALE PROTESICO</v>
      </c>
      <c r="E646" s="13" t="str">
        <f t="shared" si="40"/>
        <v>MEDACTA ITALIA SRL a Socio Unico</v>
      </c>
      <c r="F646" s="13" t="s">
        <v>14</v>
      </c>
      <c r="G646" s="15">
        <v>665</v>
      </c>
    </row>
    <row r="647" spans="1:7" ht="22.5" x14ac:dyDescent="0.25">
      <c r="A647" s="13">
        <v>13005</v>
      </c>
      <c r="B647" s="14">
        <v>43413.67359953704</v>
      </c>
      <c r="C647" s="13" t="s">
        <v>10</v>
      </c>
      <c r="D647" s="13" t="str">
        <f t="shared" si="39"/>
        <v>MATERIALE PROTESICO</v>
      </c>
      <c r="E647" s="13" t="str">
        <f t="shared" si="40"/>
        <v>MEDACTA ITALIA SRL a Socio Unico</v>
      </c>
      <c r="F647" s="13" t="s">
        <v>14</v>
      </c>
      <c r="G647" s="15">
        <v>2655.32</v>
      </c>
    </row>
    <row r="648" spans="1:7" ht="22.5" x14ac:dyDescent="0.25">
      <c r="A648" s="13">
        <v>13006</v>
      </c>
      <c r="B648" s="14">
        <v>43413.67359953704</v>
      </c>
      <c r="C648" s="13" t="s">
        <v>10</v>
      </c>
      <c r="D648" s="13" t="str">
        <f t="shared" si="39"/>
        <v>MATERIALE PROTESICO</v>
      </c>
      <c r="E648" s="13" t="str">
        <f t="shared" si="40"/>
        <v>MEDACTA ITALIA SRL a Socio Unico</v>
      </c>
      <c r="F648" s="13" t="s">
        <v>14</v>
      </c>
      <c r="G648" s="15">
        <v>2804.95</v>
      </c>
    </row>
    <row r="649" spans="1:7" ht="22.5" x14ac:dyDescent="0.25">
      <c r="A649" s="13">
        <v>13007</v>
      </c>
      <c r="B649" s="14">
        <v>43413.67359953704</v>
      </c>
      <c r="C649" s="13" t="s">
        <v>10</v>
      </c>
      <c r="D649" s="13" t="str">
        <f t="shared" si="39"/>
        <v>MATERIALE PROTESICO</v>
      </c>
      <c r="E649" s="13" t="str">
        <f t="shared" si="40"/>
        <v>MEDACTA ITALIA SRL a Socio Unico</v>
      </c>
      <c r="F649" s="13" t="s">
        <v>14</v>
      </c>
      <c r="G649" s="15">
        <v>2552.4499999999998</v>
      </c>
    </row>
    <row r="650" spans="1:7" ht="22.5" x14ac:dyDescent="0.25">
      <c r="A650" s="13">
        <v>13008</v>
      </c>
      <c r="B650" s="14">
        <v>43413.67359953704</v>
      </c>
      <c r="C650" s="13" t="s">
        <v>10</v>
      </c>
      <c r="D650" s="13" t="str">
        <f t="shared" si="39"/>
        <v>MATERIALE PROTESICO</v>
      </c>
      <c r="E650" s="13" t="str">
        <f t="shared" si="40"/>
        <v>MEDACTA ITALIA SRL a Socio Unico</v>
      </c>
      <c r="F650" s="13" t="s">
        <v>14</v>
      </c>
      <c r="G650" s="15">
        <v>2355.3200000000002</v>
      </c>
    </row>
    <row r="651" spans="1:7" ht="33.75" x14ac:dyDescent="0.25">
      <c r="A651" s="13">
        <v>13009</v>
      </c>
      <c r="B651" s="14">
        <v>43413.673611111109</v>
      </c>
      <c r="C651" s="13" t="s">
        <v>10</v>
      </c>
      <c r="D651" s="13" t="str">
        <f>"DISINFETTANTI, PRODOTTI PER STERILIZZAZIONE E DISPOSITIVI VARI V"</f>
        <v>DISINFETTANTI, PRODOTTI PER STERILIZZAZIONE E DISPOSITIVI VARI V</v>
      </c>
      <c r="E651" s="13" t="str">
        <f>"MEDISAN SRL"</f>
        <v>MEDISAN SRL</v>
      </c>
      <c r="F651" s="13" t="s">
        <v>14</v>
      </c>
      <c r="G651" s="15">
        <v>4015.44</v>
      </c>
    </row>
    <row r="652" spans="1:7" ht="33.75" x14ac:dyDescent="0.25">
      <c r="A652" s="13">
        <v>13010</v>
      </c>
      <c r="B652" s="14">
        <v>43413.673611111109</v>
      </c>
      <c r="C652" s="13" t="s">
        <v>10</v>
      </c>
      <c r="D652" s="13" t="str">
        <f>"DISINFETTANTI, PRODOTTI PER STERILIZZAZIONE E DISPOSITIVI VARI V"</f>
        <v>DISINFETTANTI, PRODOTTI PER STERILIZZAZIONE E DISPOSITIVI VARI V</v>
      </c>
      <c r="E652" s="13" t="str">
        <f>"MEDTRONIC ITALIA SPA"</f>
        <v>MEDTRONIC ITALIA SPA</v>
      </c>
      <c r="F652" s="13" t="s">
        <v>14</v>
      </c>
      <c r="G652" s="15">
        <v>85.8</v>
      </c>
    </row>
    <row r="653" spans="1:7" ht="33.75" x14ac:dyDescent="0.25">
      <c r="A653" s="13">
        <v>13011</v>
      </c>
      <c r="B653" s="14">
        <v>43413.673611111109</v>
      </c>
      <c r="C653" s="13" t="s">
        <v>10</v>
      </c>
      <c r="D653" s="13" t="str">
        <f>"DISINFETTANTI, PRODOTTI PER STERILIZZAZIONE E DISPOSITIVI VARI V"</f>
        <v>DISINFETTANTI, PRODOTTI PER STERILIZZAZIONE E DISPOSITIVI VARI V</v>
      </c>
      <c r="E653" s="13" t="str">
        <f>"MEDTRONIC ITALIA SPA"</f>
        <v>MEDTRONIC ITALIA SPA</v>
      </c>
      <c r="F653" s="13" t="s">
        <v>14</v>
      </c>
      <c r="G653" s="15">
        <v>1856.8</v>
      </c>
    </row>
    <row r="654" spans="1:7" ht="33.75" x14ac:dyDescent="0.25">
      <c r="A654" s="13">
        <v>13012</v>
      </c>
      <c r="B654" s="14">
        <v>43413.673611111109</v>
      </c>
      <c r="C654" s="13" t="s">
        <v>10</v>
      </c>
      <c r="D654" s="13" t="str">
        <f>"DISPOSITIVI DI SOMMINISTRAZIONE, PRELIEVO E RACCOLTA (CIN A)"</f>
        <v>DISPOSITIVI DI SOMMINISTRAZIONE, PRELIEVO E RACCOLTA (CIN A)</v>
      </c>
      <c r="E654" s="13" t="str">
        <f>"MEDISAN SRL"</f>
        <v>MEDISAN SRL</v>
      </c>
      <c r="F654" s="13" t="s">
        <v>14</v>
      </c>
      <c r="G654" s="15">
        <v>121</v>
      </c>
    </row>
    <row r="655" spans="1:7" ht="33.75" x14ac:dyDescent="0.25">
      <c r="A655" s="13">
        <v>13013</v>
      </c>
      <c r="B655" s="14">
        <v>43413.673611111109</v>
      </c>
      <c r="C655" s="13" t="s">
        <v>10</v>
      </c>
      <c r="D655" s="13" t="str">
        <f>"DISPOSITIVI DI SOMMINISTRAZIONE, PRELIEVO E RACCOLTA (CIN A)"</f>
        <v>DISPOSITIVI DI SOMMINISTRAZIONE, PRELIEVO E RACCOLTA (CIN A)</v>
      </c>
      <c r="E655" s="13" t="str">
        <f>"MEDLINE INTERNATIONAL ITALY SRL Unipersonale"</f>
        <v>MEDLINE INTERNATIONAL ITALY SRL Unipersonale</v>
      </c>
      <c r="F655" s="13" t="s">
        <v>14</v>
      </c>
      <c r="G655" s="15">
        <v>270</v>
      </c>
    </row>
    <row r="656" spans="1:7" ht="22.5" x14ac:dyDescent="0.25">
      <c r="A656" s="13">
        <v>13014</v>
      </c>
      <c r="B656" s="14">
        <v>43413.673611111109</v>
      </c>
      <c r="C656" s="13" t="s">
        <v>10</v>
      </c>
      <c r="D656" s="13" t="str">
        <f>"MATERIALE DIAGNOSTICO (W)"</f>
        <v>MATERIALE DIAGNOSTICO (W)</v>
      </c>
      <c r="E656" s="13" t="str">
        <f>"MEDICAL SYSTEMS SPA"</f>
        <v>MEDICAL SYSTEMS SPA</v>
      </c>
      <c r="F656" s="13" t="s">
        <v>14</v>
      </c>
      <c r="G656" s="15">
        <v>242.11</v>
      </c>
    </row>
    <row r="657" spans="1:7" ht="22.5" x14ac:dyDescent="0.25">
      <c r="A657" s="13">
        <v>13015</v>
      </c>
      <c r="B657" s="14">
        <v>43413.673611111109</v>
      </c>
      <c r="C657" s="13" t="s">
        <v>10</v>
      </c>
      <c r="D657" s="13" t="str">
        <f t="shared" ref="D657:D667" si="41">"MATERIALE PROTESICO"</f>
        <v>MATERIALE PROTESICO</v>
      </c>
      <c r="E657" s="13" t="str">
        <f>"MEDICAL 2011 SRL"</f>
        <v>MEDICAL 2011 SRL</v>
      </c>
      <c r="F657" s="13" t="s">
        <v>14</v>
      </c>
      <c r="G657" s="15">
        <v>121</v>
      </c>
    </row>
    <row r="658" spans="1:7" ht="22.5" x14ac:dyDescent="0.25">
      <c r="A658" s="13">
        <v>13016</v>
      </c>
      <c r="B658" s="14">
        <v>43413.673611111109</v>
      </c>
      <c r="C658" s="13" t="s">
        <v>10</v>
      </c>
      <c r="D658" s="13" t="str">
        <f t="shared" si="41"/>
        <v>MATERIALE PROTESICO</v>
      </c>
      <c r="E658" s="13" t="str">
        <f>"MEDICAL 2011 SRL"</f>
        <v>MEDICAL 2011 SRL</v>
      </c>
      <c r="F658" s="13" t="s">
        <v>14</v>
      </c>
      <c r="G658" s="15">
        <v>121</v>
      </c>
    </row>
    <row r="659" spans="1:7" ht="22.5" x14ac:dyDescent="0.25">
      <c r="A659" s="13">
        <v>13017</v>
      </c>
      <c r="B659" s="14">
        <v>43413.673611111109</v>
      </c>
      <c r="C659" s="13" t="s">
        <v>10</v>
      </c>
      <c r="D659" s="13" t="str">
        <f t="shared" si="41"/>
        <v>MATERIALE PROTESICO</v>
      </c>
      <c r="E659" s="13" t="str">
        <f>"MEDICAL 2011 SRL"</f>
        <v>MEDICAL 2011 SRL</v>
      </c>
      <c r="F659" s="13" t="s">
        <v>14</v>
      </c>
      <c r="G659" s="15">
        <v>1000</v>
      </c>
    </row>
    <row r="660" spans="1:7" ht="22.5" x14ac:dyDescent="0.25">
      <c r="A660" s="13">
        <v>13018</v>
      </c>
      <c r="B660" s="14">
        <v>43413.673611111109</v>
      </c>
      <c r="C660" s="13" t="s">
        <v>10</v>
      </c>
      <c r="D660" s="13" t="str">
        <f t="shared" si="41"/>
        <v>MATERIALE PROTESICO</v>
      </c>
      <c r="E660" s="13" t="str">
        <f t="shared" ref="E660:E673" si="42">"MEDTRONIC ITALIA SPA"</f>
        <v>MEDTRONIC ITALIA SPA</v>
      </c>
      <c r="F660" s="13" t="s">
        <v>14</v>
      </c>
      <c r="G660" s="15">
        <v>460</v>
      </c>
    </row>
    <row r="661" spans="1:7" ht="22.5" x14ac:dyDescent="0.25">
      <c r="A661" s="13">
        <v>13019</v>
      </c>
      <c r="B661" s="14">
        <v>43413.673611111109</v>
      </c>
      <c r="C661" s="13" t="s">
        <v>10</v>
      </c>
      <c r="D661" s="13" t="str">
        <f t="shared" si="41"/>
        <v>MATERIALE PROTESICO</v>
      </c>
      <c r="E661" s="13" t="str">
        <f t="shared" si="42"/>
        <v>MEDTRONIC ITALIA SPA</v>
      </c>
      <c r="F661" s="13" t="s">
        <v>14</v>
      </c>
      <c r="G661" s="15">
        <v>1362</v>
      </c>
    </row>
    <row r="662" spans="1:7" ht="22.5" x14ac:dyDescent="0.25">
      <c r="A662" s="13">
        <v>13020</v>
      </c>
      <c r="B662" s="14">
        <v>43413.673611111109</v>
      </c>
      <c r="C662" s="13" t="s">
        <v>10</v>
      </c>
      <c r="D662" s="13" t="str">
        <f t="shared" si="41"/>
        <v>MATERIALE PROTESICO</v>
      </c>
      <c r="E662" s="13" t="str">
        <f t="shared" si="42"/>
        <v>MEDTRONIC ITALIA SPA</v>
      </c>
      <c r="F662" s="13" t="s">
        <v>14</v>
      </c>
      <c r="G662" s="15">
        <v>681</v>
      </c>
    </row>
    <row r="663" spans="1:7" ht="22.5" x14ac:dyDescent="0.25">
      <c r="A663" s="13">
        <v>13021</v>
      </c>
      <c r="B663" s="14">
        <v>43413.673611111109</v>
      </c>
      <c r="C663" s="13" t="s">
        <v>10</v>
      </c>
      <c r="D663" s="13" t="str">
        <f t="shared" si="41"/>
        <v>MATERIALE PROTESICO</v>
      </c>
      <c r="E663" s="13" t="str">
        <f t="shared" si="42"/>
        <v>MEDTRONIC ITALIA SPA</v>
      </c>
      <c r="F663" s="13" t="s">
        <v>14</v>
      </c>
      <c r="G663" s="15">
        <v>3893.26</v>
      </c>
    </row>
    <row r="664" spans="1:7" ht="22.5" x14ac:dyDescent="0.25">
      <c r="A664" s="13">
        <v>13022</v>
      </c>
      <c r="B664" s="14">
        <v>43413.673611111109</v>
      </c>
      <c r="C664" s="13" t="s">
        <v>10</v>
      </c>
      <c r="D664" s="13" t="str">
        <f t="shared" si="41"/>
        <v>MATERIALE PROTESICO</v>
      </c>
      <c r="E664" s="13" t="str">
        <f t="shared" si="42"/>
        <v>MEDTRONIC ITALIA SPA</v>
      </c>
      <c r="F664" s="13" t="s">
        <v>14</v>
      </c>
      <c r="G664" s="15">
        <v>681</v>
      </c>
    </row>
    <row r="665" spans="1:7" ht="22.5" x14ac:dyDescent="0.25">
      <c r="A665" s="13">
        <v>13023</v>
      </c>
      <c r="B665" s="14">
        <v>43413.673611111109</v>
      </c>
      <c r="C665" s="13" t="s">
        <v>10</v>
      </c>
      <c r="D665" s="13" t="str">
        <f t="shared" si="41"/>
        <v>MATERIALE PROTESICO</v>
      </c>
      <c r="E665" s="13" t="str">
        <f t="shared" si="42"/>
        <v>MEDTRONIC ITALIA SPA</v>
      </c>
      <c r="F665" s="13" t="s">
        <v>14</v>
      </c>
      <c r="G665" s="15">
        <v>250</v>
      </c>
    </row>
    <row r="666" spans="1:7" ht="22.5" x14ac:dyDescent="0.25">
      <c r="A666" s="13">
        <v>13024</v>
      </c>
      <c r="B666" s="14">
        <v>43413.673611111109</v>
      </c>
      <c r="C666" s="13" t="s">
        <v>10</v>
      </c>
      <c r="D666" s="13" t="str">
        <f t="shared" si="41"/>
        <v>MATERIALE PROTESICO</v>
      </c>
      <c r="E666" s="13" t="str">
        <f t="shared" si="42"/>
        <v>MEDTRONIC ITALIA SPA</v>
      </c>
      <c r="F666" s="13" t="s">
        <v>14</v>
      </c>
      <c r="G666" s="15">
        <v>1702.5</v>
      </c>
    </row>
    <row r="667" spans="1:7" ht="22.5" x14ac:dyDescent="0.25">
      <c r="A667" s="13">
        <v>13025</v>
      </c>
      <c r="B667" s="14">
        <v>43413.673611111109</v>
      </c>
      <c r="C667" s="13" t="s">
        <v>10</v>
      </c>
      <c r="D667" s="13" t="str">
        <f t="shared" si="41"/>
        <v>MATERIALE PROTESICO</v>
      </c>
      <c r="E667" s="13" t="str">
        <f t="shared" si="42"/>
        <v>MEDTRONIC ITALIA SPA</v>
      </c>
      <c r="F667" s="13" t="s">
        <v>14</v>
      </c>
      <c r="G667" s="15">
        <v>340.5</v>
      </c>
    </row>
    <row r="668" spans="1:7" ht="33.75" x14ac:dyDescent="0.25">
      <c r="A668" s="13">
        <v>13026</v>
      </c>
      <c r="B668" s="14">
        <v>43413.673611111109</v>
      </c>
      <c r="C668" s="13" t="s">
        <v>10</v>
      </c>
      <c r="D668" s="13" t="str">
        <f t="shared" ref="D668:D673" si="43">"PRESIDI MEDICO-CHIRURGICI GENERICI E AUSILI TECNICI PER DISABILI H"</f>
        <v>PRESIDI MEDICO-CHIRURGICI GENERICI E AUSILI TECNICI PER DISABILI H</v>
      </c>
      <c r="E668" s="13" t="str">
        <f t="shared" si="42"/>
        <v>MEDTRONIC ITALIA SPA</v>
      </c>
      <c r="F668" s="13" t="s">
        <v>14</v>
      </c>
      <c r="G668" s="15">
        <v>2640</v>
      </c>
    </row>
    <row r="669" spans="1:7" ht="33.75" x14ac:dyDescent="0.25">
      <c r="A669" s="13">
        <v>13027</v>
      </c>
      <c r="B669" s="14">
        <v>43413.673611111109</v>
      </c>
      <c r="C669" s="13" t="s">
        <v>10</v>
      </c>
      <c r="D669" s="13" t="str">
        <f t="shared" si="43"/>
        <v>PRESIDI MEDICO-CHIRURGICI GENERICI E AUSILI TECNICI PER DISABILI H</v>
      </c>
      <c r="E669" s="13" t="str">
        <f t="shared" si="42"/>
        <v>MEDTRONIC ITALIA SPA</v>
      </c>
      <c r="F669" s="13" t="s">
        <v>14</v>
      </c>
      <c r="G669" s="15">
        <v>263.64</v>
      </c>
    </row>
    <row r="670" spans="1:7" ht="33.75" x14ac:dyDescent="0.25">
      <c r="A670" s="13">
        <v>13028</v>
      </c>
      <c r="B670" s="14">
        <v>43413.673611111109</v>
      </c>
      <c r="C670" s="13" t="s">
        <v>10</v>
      </c>
      <c r="D670" s="13" t="str">
        <f t="shared" si="43"/>
        <v>PRESIDI MEDICO-CHIRURGICI GENERICI E AUSILI TECNICI PER DISABILI H</v>
      </c>
      <c r="E670" s="13" t="str">
        <f t="shared" si="42"/>
        <v>MEDTRONIC ITALIA SPA</v>
      </c>
      <c r="F670" s="13" t="s">
        <v>14</v>
      </c>
      <c r="G670" s="15">
        <v>263.64</v>
      </c>
    </row>
    <row r="671" spans="1:7" ht="33.75" x14ac:dyDescent="0.25">
      <c r="A671" s="13">
        <v>13029</v>
      </c>
      <c r="B671" s="14">
        <v>43413.673611111109</v>
      </c>
      <c r="C671" s="13" t="s">
        <v>10</v>
      </c>
      <c r="D671" s="13" t="str">
        <f t="shared" si="43"/>
        <v>PRESIDI MEDICO-CHIRURGICI GENERICI E AUSILI TECNICI PER DISABILI H</v>
      </c>
      <c r="E671" s="13" t="str">
        <f t="shared" si="42"/>
        <v>MEDTRONIC ITALIA SPA</v>
      </c>
      <c r="F671" s="13" t="s">
        <v>14</v>
      </c>
      <c r="G671" s="15">
        <v>1683.24</v>
      </c>
    </row>
    <row r="672" spans="1:7" ht="33.75" x14ac:dyDescent="0.25">
      <c r="A672" s="13">
        <v>13030</v>
      </c>
      <c r="B672" s="14">
        <v>43413.673611111109</v>
      </c>
      <c r="C672" s="13" t="s">
        <v>10</v>
      </c>
      <c r="D672" s="13" t="str">
        <f t="shared" si="43"/>
        <v>PRESIDI MEDICO-CHIRURGICI GENERICI E AUSILI TECNICI PER DISABILI H</v>
      </c>
      <c r="E672" s="13" t="str">
        <f t="shared" si="42"/>
        <v>MEDTRONIC ITALIA SPA</v>
      </c>
      <c r="F672" s="13" t="s">
        <v>14</v>
      </c>
      <c r="G672" s="15">
        <v>449.98</v>
      </c>
    </row>
    <row r="673" spans="1:7" ht="33.75" x14ac:dyDescent="0.25">
      <c r="A673" s="13">
        <v>13031</v>
      </c>
      <c r="B673" s="14">
        <v>43413.673611111109</v>
      </c>
      <c r="C673" s="13" t="s">
        <v>10</v>
      </c>
      <c r="D673" s="13" t="str">
        <f t="shared" si="43"/>
        <v>PRESIDI MEDICO-CHIRURGICI GENERICI E AUSILI TECNICI PER DISABILI H</v>
      </c>
      <c r="E673" s="13" t="str">
        <f t="shared" si="42"/>
        <v>MEDTRONIC ITALIA SPA</v>
      </c>
      <c r="F673" s="13" t="s">
        <v>14</v>
      </c>
      <c r="G673" s="15">
        <v>971.65</v>
      </c>
    </row>
    <row r="674" spans="1:7" ht="33.75" x14ac:dyDescent="0.25">
      <c r="A674" s="13">
        <v>13032</v>
      </c>
      <c r="B674" s="14">
        <v>43413.673611111109</v>
      </c>
      <c r="C674" s="13" t="s">
        <v>10</v>
      </c>
      <c r="D674" s="13" t="str">
        <f>"PRESIDI MEDICO-CHIRURGICI GENERICI E AUSILI TECNICI PER DISABILI T"</f>
        <v>PRESIDI MEDICO-CHIRURGICI GENERICI E AUSILI TECNICI PER DISABILI T</v>
      </c>
      <c r="E674" s="13" t="str">
        <f>"MEDISAN SRL"</f>
        <v>MEDISAN SRL</v>
      </c>
      <c r="F674" s="13" t="s">
        <v>14</v>
      </c>
      <c r="G674" s="15">
        <v>161.28</v>
      </c>
    </row>
    <row r="675" spans="1:7" ht="33.75" x14ac:dyDescent="0.25">
      <c r="A675" s="13">
        <v>13033</v>
      </c>
      <c r="B675" s="14">
        <v>43413.673611111109</v>
      </c>
      <c r="C675" s="13" t="s">
        <v>10</v>
      </c>
      <c r="D675" s="13" t="str">
        <f>"PRESIDI MEDICO-CHIRURGICI GENERICI E AUSILI TECNICI PER DISABILI T"</f>
        <v>PRESIDI MEDICO-CHIRURGICI GENERICI E AUSILI TECNICI PER DISABILI T</v>
      </c>
      <c r="E675" s="13" t="str">
        <f>"MEDLINE INTERNATIONAL ITALY SRL Unipersonale"</f>
        <v>MEDLINE INTERNATIONAL ITALY SRL Unipersonale</v>
      </c>
      <c r="F675" s="13" t="s">
        <v>14</v>
      </c>
      <c r="G675" s="15">
        <v>1494</v>
      </c>
    </row>
    <row r="676" spans="1:7" ht="22.5" x14ac:dyDescent="0.25">
      <c r="A676" s="13">
        <v>13034</v>
      </c>
      <c r="B676" s="14">
        <v>43413.673611111109</v>
      </c>
      <c r="C676" s="13" t="s">
        <v>10</v>
      </c>
      <c r="D676" s="13" t="str">
        <f>"PRESIDI MEDICO-CHIRURGICI SPECIALISTICI R"</f>
        <v>PRESIDI MEDICO-CHIRURGICI SPECIALISTICI R</v>
      </c>
      <c r="E676" s="13" t="str">
        <f>"MEDTRONIC ITALIA SPA"</f>
        <v>MEDTRONIC ITALIA SPA</v>
      </c>
      <c r="F676" s="13" t="s">
        <v>14</v>
      </c>
      <c r="G676" s="15">
        <v>2025</v>
      </c>
    </row>
    <row r="677" spans="1:7" ht="22.5" x14ac:dyDescent="0.25">
      <c r="A677" s="13">
        <v>13035</v>
      </c>
      <c r="B677" s="14">
        <v>43413.673611111109</v>
      </c>
      <c r="C677" s="13" t="s">
        <v>10</v>
      </c>
      <c r="D677" s="13" t="str">
        <f>"PRODOTTI FARMACEUTICI CON AIC"</f>
        <v>PRODOTTI FARMACEUTICI CON AIC</v>
      </c>
      <c r="E677" s="13" t="str">
        <f>"MEDIOLANUM FARMACEUTICI SPA"</f>
        <v>MEDIOLANUM FARMACEUTICI SPA</v>
      </c>
      <c r="F677" s="13" t="s">
        <v>14</v>
      </c>
      <c r="G677" s="15">
        <v>48.96</v>
      </c>
    </row>
    <row r="678" spans="1:7" ht="22.5" x14ac:dyDescent="0.25">
      <c r="A678" s="13">
        <v>13036</v>
      </c>
      <c r="B678" s="14">
        <v>43413.673611111109</v>
      </c>
      <c r="C678" s="13" t="s">
        <v>10</v>
      </c>
      <c r="D678" s="13" t="str">
        <f>"SERVIZIO ARCHIVIAZIONE (CUP)"</f>
        <v>SERVIZIO ARCHIVIAZIONE (CUP)</v>
      </c>
      <c r="E678" s="13" t="str">
        <f>"MICRODISEGNO SRL"</f>
        <v>MICRODISEGNO SRL</v>
      </c>
      <c r="F678" s="13" t="str">
        <f>"ALTRE SPESE PER SERV.NON SANITARI"</f>
        <v>ALTRE SPESE PER SERV.NON SANITARI</v>
      </c>
      <c r="G678" s="15">
        <v>1912.39</v>
      </c>
    </row>
    <row r="679" spans="1:7" ht="22.5" x14ac:dyDescent="0.25">
      <c r="A679" s="13">
        <v>13037</v>
      </c>
      <c r="B679" s="14">
        <v>43413.673611111109</v>
      </c>
      <c r="C679" s="13" t="s">
        <v>10</v>
      </c>
      <c r="D679" s="13" t="str">
        <f>"SERVIZIO ARCHIVIAZIONE (CUP)"</f>
        <v>SERVIZIO ARCHIVIAZIONE (CUP)</v>
      </c>
      <c r="E679" s="13" t="str">
        <f>"MICRODISEGNO SRL"</f>
        <v>MICRODISEGNO SRL</v>
      </c>
      <c r="F679" s="13" t="str">
        <f>"ALTRE SPESE PER SERV.NON SANITARI"</f>
        <v>ALTRE SPESE PER SERV.NON SANITARI</v>
      </c>
      <c r="G679" s="15">
        <v>1886.79</v>
      </c>
    </row>
    <row r="680" spans="1:7" ht="33.75" x14ac:dyDescent="0.25">
      <c r="A680" s="13">
        <v>13038</v>
      </c>
      <c r="B680" s="14">
        <v>43413.673622685186</v>
      </c>
      <c r="C680" s="13" t="s">
        <v>10</v>
      </c>
      <c r="D680" s="13" t="str">
        <f t="shared" ref="D680:D685" si="44">"APP.RE SANITARIE E RELATIVI COMPONENTI ACCESSORI E MATERIALE RADIOGRAFICO (Z)"</f>
        <v>APP.RE SANITARIE E RELATIVI COMPONENTI ACCESSORI E MATERIALE RADIOGRAFICO (Z)</v>
      </c>
      <c r="E680" s="13" t="str">
        <f t="shared" ref="E680:E685" si="45">"MIDA TECNOLOGIA MEDICA SPA"</f>
        <v>MIDA TECNOLOGIA MEDICA SPA</v>
      </c>
      <c r="F680" s="13" t="s">
        <v>14</v>
      </c>
      <c r="G680" s="15">
        <v>1760</v>
      </c>
    </row>
    <row r="681" spans="1:7" ht="33.75" x14ac:dyDescent="0.25">
      <c r="A681" s="13">
        <v>13039</v>
      </c>
      <c r="B681" s="14">
        <v>43413.673622685186</v>
      </c>
      <c r="C681" s="13" t="s">
        <v>10</v>
      </c>
      <c r="D681" s="13" t="str">
        <f t="shared" si="44"/>
        <v>APP.RE SANITARIE E RELATIVI COMPONENTI ACCESSORI E MATERIALE RADIOGRAFICO (Z)</v>
      </c>
      <c r="E681" s="13" t="str">
        <f t="shared" si="45"/>
        <v>MIDA TECNOLOGIA MEDICA SPA</v>
      </c>
      <c r="F681" s="13" t="s">
        <v>14</v>
      </c>
      <c r="G681" s="15">
        <v>1400</v>
      </c>
    </row>
    <row r="682" spans="1:7" ht="33.75" x14ac:dyDescent="0.25">
      <c r="A682" s="13">
        <v>13040</v>
      </c>
      <c r="B682" s="14">
        <v>43413.673622685186</v>
      </c>
      <c r="C682" s="13" t="s">
        <v>10</v>
      </c>
      <c r="D682" s="13" t="str">
        <f t="shared" si="44"/>
        <v>APP.RE SANITARIE E RELATIVI COMPONENTI ACCESSORI E MATERIALE RADIOGRAFICO (Z)</v>
      </c>
      <c r="E682" s="13" t="str">
        <f t="shared" si="45"/>
        <v>MIDA TECNOLOGIA MEDICA SPA</v>
      </c>
      <c r="F682" s="13" t="s">
        <v>14</v>
      </c>
      <c r="G682" s="15">
        <v>2800</v>
      </c>
    </row>
    <row r="683" spans="1:7" ht="33.75" x14ac:dyDescent="0.25">
      <c r="A683" s="13">
        <v>13041</v>
      </c>
      <c r="B683" s="14">
        <v>43413.673622685186</v>
      </c>
      <c r="C683" s="13" t="s">
        <v>10</v>
      </c>
      <c r="D683" s="13" t="str">
        <f t="shared" si="44"/>
        <v>APP.RE SANITARIE E RELATIVI COMPONENTI ACCESSORI E MATERIALE RADIOGRAFICO (Z)</v>
      </c>
      <c r="E683" s="13" t="str">
        <f t="shared" si="45"/>
        <v>MIDA TECNOLOGIA MEDICA SPA</v>
      </c>
      <c r="F683" s="13" t="s">
        <v>14</v>
      </c>
      <c r="G683" s="15">
        <v>2454.7199999999998</v>
      </c>
    </row>
    <row r="684" spans="1:7" ht="33.75" x14ac:dyDescent="0.25">
      <c r="A684" s="13">
        <v>13042</v>
      </c>
      <c r="B684" s="14">
        <v>43413.673622685186</v>
      </c>
      <c r="C684" s="13" t="s">
        <v>10</v>
      </c>
      <c r="D684" s="13" t="str">
        <f t="shared" si="44"/>
        <v>APP.RE SANITARIE E RELATIVI COMPONENTI ACCESSORI E MATERIALE RADIOGRAFICO (Z)</v>
      </c>
      <c r="E684" s="13" t="str">
        <f t="shared" si="45"/>
        <v>MIDA TECNOLOGIA MEDICA SPA</v>
      </c>
      <c r="F684" s="13" t="s">
        <v>14</v>
      </c>
      <c r="G684" s="15">
        <v>5721.25</v>
      </c>
    </row>
    <row r="685" spans="1:7" ht="33.75" x14ac:dyDescent="0.25">
      <c r="A685" s="13">
        <v>13043</v>
      </c>
      <c r="B685" s="14">
        <v>43413.673622685186</v>
      </c>
      <c r="C685" s="13" t="s">
        <v>10</v>
      </c>
      <c r="D685" s="13" t="str">
        <f t="shared" si="44"/>
        <v>APP.RE SANITARIE E RELATIVI COMPONENTI ACCESSORI E MATERIALE RADIOGRAFICO (Z)</v>
      </c>
      <c r="E685" s="13" t="str">
        <f t="shared" si="45"/>
        <v>MIDA TECNOLOGIA MEDICA SPA</v>
      </c>
      <c r="F685" s="13" t="s">
        <v>14</v>
      </c>
      <c r="G685" s="15">
        <v>1726.56</v>
      </c>
    </row>
    <row r="686" spans="1:7" ht="22.5" x14ac:dyDescent="0.25">
      <c r="A686" s="13">
        <v>13044</v>
      </c>
      <c r="B686" s="14">
        <v>43413.673622685186</v>
      </c>
      <c r="C686" s="13" t="s">
        <v>10</v>
      </c>
      <c r="D686" s="13" t="str">
        <f t="shared" ref="D686:D695" si="46">"MATERIALE PROTESICO"</f>
        <v>MATERIALE PROTESICO</v>
      </c>
      <c r="E686" s="13" t="str">
        <f t="shared" ref="E686:E691" si="47">"MICROPORT SCIENTIFIC SRL a Socio Unico"</f>
        <v>MICROPORT SCIENTIFIC SRL a Socio Unico</v>
      </c>
      <c r="F686" s="13" t="s">
        <v>14</v>
      </c>
      <c r="G686" s="15">
        <v>95.84</v>
      </c>
    </row>
    <row r="687" spans="1:7" ht="22.5" x14ac:dyDescent="0.25">
      <c r="A687" s="13">
        <v>13045</v>
      </c>
      <c r="B687" s="14">
        <v>43413.673622685186</v>
      </c>
      <c r="C687" s="13" t="s">
        <v>10</v>
      </c>
      <c r="D687" s="13" t="str">
        <f t="shared" si="46"/>
        <v>MATERIALE PROTESICO</v>
      </c>
      <c r="E687" s="13" t="str">
        <f t="shared" si="47"/>
        <v>MICROPORT SCIENTIFIC SRL a Socio Unico</v>
      </c>
      <c r="F687" s="13" t="s">
        <v>14</v>
      </c>
      <c r="G687" s="15">
        <v>23.96</v>
      </c>
    </row>
    <row r="688" spans="1:7" ht="22.5" x14ac:dyDescent="0.25">
      <c r="A688" s="13">
        <v>13046</v>
      </c>
      <c r="B688" s="14">
        <v>43413.673622685186</v>
      </c>
      <c r="C688" s="13" t="s">
        <v>10</v>
      </c>
      <c r="D688" s="13" t="str">
        <f t="shared" si="46"/>
        <v>MATERIALE PROTESICO</v>
      </c>
      <c r="E688" s="13" t="str">
        <f t="shared" si="47"/>
        <v>MICROPORT SCIENTIFIC SRL a Socio Unico</v>
      </c>
      <c r="F688" s="13" t="s">
        <v>14</v>
      </c>
      <c r="G688" s="15">
        <v>2358.8000000000002</v>
      </c>
    </row>
    <row r="689" spans="1:7" ht="22.5" x14ac:dyDescent="0.25">
      <c r="A689" s="13">
        <v>13047</v>
      </c>
      <c r="B689" s="14">
        <v>43413.673622685186</v>
      </c>
      <c r="C689" s="13" t="s">
        <v>10</v>
      </c>
      <c r="D689" s="13" t="str">
        <f t="shared" si="46"/>
        <v>MATERIALE PROTESICO</v>
      </c>
      <c r="E689" s="13" t="str">
        <f t="shared" si="47"/>
        <v>MICROPORT SCIENTIFIC SRL a Socio Unico</v>
      </c>
      <c r="F689" s="13" t="s">
        <v>14</v>
      </c>
      <c r="G689" s="15">
        <v>2358.8000000000002</v>
      </c>
    </row>
    <row r="690" spans="1:7" ht="22.5" x14ac:dyDescent="0.25">
      <c r="A690" s="13">
        <v>13048</v>
      </c>
      <c r="B690" s="14">
        <v>43413.673622685186</v>
      </c>
      <c r="C690" s="13" t="s">
        <v>10</v>
      </c>
      <c r="D690" s="13" t="str">
        <f t="shared" si="46"/>
        <v>MATERIALE PROTESICO</v>
      </c>
      <c r="E690" s="13" t="str">
        <f t="shared" si="47"/>
        <v>MICROPORT SCIENTIFIC SRL a Socio Unico</v>
      </c>
      <c r="F690" s="13" t="s">
        <v>14</v>
      </c>
      <c r="G690" s="15">
        <v>1263.5999999999999</v>
      </c>
    </row>
    <row r="691" spans="1:7" ht="22.5" x14ac:dyDescent="0.25">
      <c r="A691" s="13">
        <v>13049</v>
      </c>
      <c r="B691" s="14">
        <v>43413.673622685186</v>
      </c>
      <c r="C691" s="13" t="s">
        <v>10</v>
      </c>
      <c r="D691" s="13" t="str">
        <f t="shared" si="46"/>
        <v>MATERIALE PROTESICO</v>
      </c>
      <c r="E691" s="13" t="str">
        <f t="shared" si="47"/>
        <v>MICROPORT SCIENTIFIC SRL a Socio Unico</v>
      </c>
      <c r="F691" s="13" t="s">
        <v>14</v>
      </c>
      <c r="G691" s="15">
        <v>1360</v>
      </c>
    </row>
    <row r="692" spans="1:7" ht="22.5" x14ac:dyDescent="0.25">
      <c r="A692" s="13">
        <v>13050</v>
      </c>
      <c r="B692" s="14">
        <v>43413.673622685186</v>
      </c>
      <c r="C692" s="13" t="s">
        <v>10</v>
      </c>
      <c r="D692" s="13" t="str">
        <f t="shared" si="46"/>
        <v>MATERIALE PROTESICO</v>
      </c>
      <c r="E692" s="13" t="str">
        <f>"MIDA TECNOLOGIA MEDICA SPA"</f>
        <v>MIDA TECNOLOGIA MEDICA SPA</v>
      </c>
      <c r="F692" s="13" t="s">
        <v>14</v>
      </c>
      <c r="G692" s="15">
        <v>4500</v>
      </c>
    </row>
    <row r="693" spans="1:7" ht="22.5" x14ac:dyDescent="0.25">
      <c r="A693" s="13">
        <v>13051</v>
      </c>
      <c r="B693" s="14">
        <v>43413.673622685186</v>
      </c>
      <c r="C693" s="13" t="s">
        <v>10</v>
      </c>
      <c r="D693" s="13" t="str">
        <f t="shared" si="46"/>
        <v>MATERIALE PROTESICO</v>
      </c>
      <c r="E693" s="13" t="str">
        <f>"MIDA TECNOLOGIA MEDICA SPA"</f>
        <v>MIDA TECNOLOGIA MEDICA SPA</v>
      </c>
      <c r="F693" s="13" t="s">
        <v>14</v>
      </c>
      <c r="G693" s="15">
        <v>6984</v>
      </c>
    </row>
    <row r="694" spans="1:7" ht="22.5" x14ac:dyDescent="0.25">
      <c r="A694" s="13">
        <v>13052</v>
      </c>
      <c r="B694" s="14">
        <v>43413.673622685186</v>
      </c>
      <c r="C694" s="13" t="s">
        <v>10</v>
      </c>
      <c r="D694" s="13" t="str">
        <f t="shared" si="46"/>
        <v>MATERIALE PROTESICO</v>
      </c>
      <c r="E694" s="13" t="str">
        <f>"MIDA TECNOLOGIA MEDICA SPA"</f>
        <v>MIDA TECNOLOGIA MEDICA SPA</v>
      </c>
      <c r="F694" s="13" t="s">
        <v>14</v>
      </c>
      <c r="G694" s="15">
        <v>3025</v>
      </c>
    </row>
    <row r="695" spans="1:7" ht="22.5" x14ac:dyDescent="0.25">
      <c r="A695" s="13">
        <v>13053</v>
      </c>
      <c r="B695" s="14">
        <v>43413.673622685186</v>
      </c>
      <c r="C695" s="13" t="s">
        <v>10</v>
      </c>
      <c r="D695" s="13" t="str">
        <f t="shared" si="46"/>
        <v>MATERIALE PROTESICO</v>
      </c>
      <c r="E695" s="13" t="str">
        <f>"MIKAI SPA"</f>
        <v>MIKAI SPA</v>
      </c>
      <c r="F695" s="13" t="s">
        <v>14</v>
      </c>
      <c r="G695" s="15">
        <v>2429.6999999999998</v>
      </c>
    </row>
    <row r="696" spans="1:7" ht="22.5" x14ac:dyDescent="0.25">
      <c r="A696" s="13">
        <v>13054</v>
      </c>
      <c r="B696" s="14">
        <v>43413.673622685186</v>
      </c>
      <c r="C696" s="13" t="s">
        <v>10</v>
      </c>
      <c r="D696" s="13" t="str">
        <f t="shared" ref="D696:D701" si="48">"STRUMENTARIO CHIRURGICO (K, L)"</f>
        <v>STRUMENTARIO CHIRURGICO (K, L)</v>
      </c>
      <c r="E696" s="13" t="str">
        <f t="shared" ref="E696:E701" si="49">"MIDA TECNOLOGIA MEDICA SPA"</f>
        <v>MIDA TECNOLOGIA MEDICA SPA</v>
      </c>
      <c r="F696" s="13" t="s">
        <v>14</v>
      </c>
      <c r="G696" s="15">
        <v>1935</v>
      </c>
    </row>
    <row r="697" spans="1:7" ht="22.5" x14ac:dyDescent="0.25">
      <c r="A697" s="13">
        <v>13055</v>
      </c>
      <c r="B697" s="14">
        <v>43413.673622685186</v>
      </c>
      <c r="C697" s="13" t="s">
        <v>10</v>
      </c>
      <c r="D697" s="13" t="str">
        <f t="shared" si="48"/>
        <v>STRUMENTARIO CHIRURGICO (K, L)</v>
      </c>
      <c r="E697" s="13" t="str">
        <f t="shared" si="49"/>
        <v>MIDA TECNOLOGIA MEDICA SPA</v>
      </c>
      <c r="F697" s="13" t="s">
        <v>14</v>
      </c>
      <c r="G697" s="15">
        <v>2837.25</v>
      </c>
    </row>
    <row r="698" spans="1:7" ht="22.5" x14ac:dyDescent="0.25">
      <c r="A698" s="13">
        <v>13056</v>
      </c>
      <c r="B698" s="14">
        <v>43413.673622685186</v>
      </c>
      <c r="C698" s="13" t="s">
        <v>10</v>
      </c>
      <c r="D698" s="13" t="str">
        <f t="shared" si="48"/>
        <v>STRUMENTARIO CHIRURGICO (K, L)</v>
      </c>
      <c r="E698" s="13" t="str">
        <f t="shared" si="49"/>
        <v>MIDA TECNOLOGIA MEDICA SPA</v>
      </c>
      <c r="F698" s="13" t="s">
        <v>14</v>
      </c>
      <c r="G698" s="15">
        <v>3783</v>
      </c>
    </row>
    <row r="699" spans="1:7" ht="22.5" x14ac:dyDescent="0.25">
      <c r="A699" s="13">
        <v>13057</v>
      </c>
      <c r="B699" s="14">
        <v>43413.673622685186</v>
      </c>
      <c r="C699" s="13" t="s">
        <v>10</v>
      </c>
      <c r="D699" s="13" t="str">
        <f t="shared" si="48"/>
        <v>STRUMENTARIO CHIRURGICO (K, L)</v>
      </c>
      <c r="E699" s="13" t="str">
        <f t="shared" si="49"/>
        <v>MIDA TECNOLOGIA MEDICA SPA</v>
      </c>
      <c r="F699" s="13" t="s">
        <v>14</v>
      </c>
      <c r="G699" s="15">
        <v>1891.5</v>
      </c>
    </row>
    <row r="700" spans="1:7" ht="22.5" x14ac:dyDescent="0.25">
      <c r="A700" s="13">
        <v>13058</v>
      </c>
      <c r="B700" s="14">
        <v>43413.673622685186</v>
      </c>
      <c r="C700" s="13" t="s">
        <v>10</v>
      </c>
      <c r="D700" s="13" t="str">
        <f t="shared" si="48"/>
        <v>STRUMENTARIO CHIRURGICO (K, L)</v>
      </c>
      <c r="E700" s="13" t="str">
        <f t="shared" si="49"/>
        <v>MIDA TECNOLOGIA MEDICA SPA</v>
      </c>
      <c r="F700" s="13" t="s">
        <v>14</v>
      </c>
      <c r="G700" s="15">
        <v>1227.3599999999999</v>
      </c>
    </row>
    <row r="701" spans="1:7" ht="22.5" x14ac:dyDescent="0.25">
      <c r="A701" s="13">
        <v>13059</v>
      </c>
      <c r="B701" s="14">
        <v>43413.673622685186</v>
      </c>
      <c r="C701" s="13" t="s">
        <v>10</v>
      </c>
      <c r="D701" s="13" t="str">
        <f t="shared" si="48"/>
        <v>STRUMENTARIO CHIRURGICO (K, L)</v>
      </c>
      <c r="E701" s="13" t="str">
        <f t="shared" si="49"/>
        <v>MIDA TECNOLOGIA MEDICA SPA</v>
      </c>
      <c r="F701" s="13" t="s">
        <v>14</v>
      </c>
      <c r="G701" s="15">
        <v>100</v>
      </c>
    </row>
    <row r="702" spans="1:7" ht="22.5" x14ac:dyDescent="0.25">
      <c r="A702" s="13">
        <v>13060</v>
      </c>
      <c r="B702" s="14">
        <v>43413.673634259256</v>
      </c>
      <c r="C702" s="13" t="s">
        <v>10</v>
      </c>
      <c r="D702" s="13" t="str">
        <f>"MATERIALE PROTESICO"</f>
        <v>MATERIALE PROTESICO</v>
      </c>
      <c r="E702" s="13" t="str">
        <f>"MIKAI SPA"</f>
        <v>MIKAI SPA</v>
      </c>
      <c r="F702" s="13" t="s">
        <v>14</v>
      </c>
      <c r="G702" s="15">
        <v>947.05</v>
      </c>
    </row>
    <row r="703" spans="1:7" ht="22.5" x14ac:dyDescent="0.25">
      <c r="A703" s="13">
        <v>13061</v>
      </c>
      <c r="B703" s="14">
        <v>43413.673634259256</v>
      </c>
      <c r="C703" s="13" t="s">
        <v>10</v>
      </c>
      <c r="D703" s="13" t="str">
        <f>"MATERIALE PROTESICO"</f>
        <v>MATERIALE PROTESICO</v>
      </c>
      <c r="E703" s="13" t="str">
        <f>"MIKAI SPA"</f>
        <v>MIKAI SPA</v>
      </c>
      <c r="F703" s="13" t="s">
        <v>14</v>
      </c>
      <c r="G703" s="15">
        <v>1140.0999999999999</v>
      </c>
    </row>
    <row r="704" spans="1:7" ht="22.5" x14ac:dyDescent="0.25">
      <c r="A704" s="13">
        <v>13062</v>
      </c>
      <c r="B704" s="14">
        <v>43413.673634259256</v>
      </c>
      <c r="C704" s="13" t="s">
        <v>10</v>
      </c>
      <c r="D704" s="13" t="str">
        <f>"MATERIALE PROTESICO"</f>
        <v>MATERIALE PROTESICO</v>
      </c>
      <c r="E704" s="13" t="str">
        <f>"MIKAI SPA"</f>
        <v>MIKAI SPA</v>
      </c>
      <c r="F704" s="13" t="s">
        <v>14</v>
      </c>
      <c r="G704" s="15">
        <v>1068.5999999999999</v>
      </c>
    </row>
    <row r="705" spans="1:7" ht="22.5" x14ac:dyDescent="0.25">
      <c r="A705" s="13">
        <v>13063</v>
      </c>
      <c r="B705" s="14">
        <v>43413.673634259256</v>
      </c>
      <c r="C705" s="13" t="s">
        <v>10</v>
      </c>
      <c r="D705" s="13" t="str">
        <f>"MATERIALE PROTESICO"</f>
        <v>MATERIALE PROTESICO</v>
      </c>
      <c r="E705" s="13" t="str">
        <f>"MIKAI SPA"</f>
        <v>MIKAI SPA</v>
      </c>
      <c r="F705" s="13" t="s">
        <v>14</v>
      </c>
      <c r="G705" s="15">
        <v>737.75</v>
      </c>
    </row>
    <row r="706" spans="1:7" ht="22.5" x14ac:dyDescent="0.25">
      <c r="A706" s="13">
        <v>13064</v>
      </c>
      <c r="B706" s="14">
        <v>43416.660011574073</v>
      </c>
      <c r="C706" s="13" t="s">
        <v>10</v>
      </c>
      <c r="D706" s="13" t="str">
        <f>"FARMACI FILE F"</f>
        <v>FARMACI FILE F</v>
      </c>
      <c r="E706" s="13" t="str">
        <f>"ELI LILLY ITALIA SPA"</f>
        <v>ELI LILLY ITALIA SPA</v>
      </c>
      <c r="F706" s="13" t="s">
        <v>14</v>
      </c>
      <c r="G706" s="15">
        <v>8153.6</v>
      </c>
    </row>
    <row r="707" spans="1:7" ht="22.5" x14ac:dyDescent="0.25">
      <c r="A707" s="13">
        <v>13065</v>
      </c>
      <c r="B707" s="14">
        <v>43416.660011574073</v>
      </c>
      <c r="C707" s="13" t="s">
        <v>10</v>
      </c>
      <c r="D707" s="13" t="str">
        <f>"FARMACI FILE F"</f>
        <v>FARMACI FILE F</v>
      </c>
      <c r="E707" s="13" t="str">
        <f>"NOVARTIS FARMA SPA con Socio Unico"</f>
        <v>NOVARTIS FARMA SPA con Socio Unico</v>
      </c>
      <c r="F707" s="13" t="s">
        <v>14</v>
      </c>
      <c r="G707" s="15">
        <v>8623.4</v>
      </c>
    </row>
    <row r="708" spans="1:7" ht="22.5" x14ac:dyDescent="0.25">
      <c r="A708" s="13">
        <v>13066</v>
      </c>
      <c r="B708" s="14">
        <v>43416.660011574073</v>
      </c>
      <c r="C708" s="13" t="s">
        <v>10</v>
      </c>
      <c r="D708" s="13" t="str">
        <f>"FARMACI FILE F"</f>
        <v>FARMACI FILE F</v>
      </c>
      <c r="E708" s="13" t="str">
        <f>"NOVARTIS FARMA SPA con Socio Unico"</f>
        <v>NOVARTIS FARMA SPA con Socio Unico</v>
      </c>
      <c r="F708" s="13" t="s">
        <v>14</v>
      </c>
      <c r="G708" s="15">
        <v>5055.6000000000004</v>
      </c>
    </row>
    <row r="709" spans="1:7" ht="22.5" x14ac:dyDescent="0.25">
      <c r="A709" s="13">
        <v>13067</v>
      </c>
      <c r="B709" s="14">
        <v>43416.66002314815</v>
      </c>
      <c r="C709" s="13" t="s">
        <v>10</v>
      </c>
      <c r="D709" s="13" t="str">
        <f t="shared" ref="D709:D725" si="50">"MATERIALE PROTESICO"</f>
        <v>MATERIALE PROTESICO</v>
      </c>
      <c r="E709" s="13" t="str">
        <f>"MEDACTA ITALIA SRL a Socio Unico"</f>
        <v>MEDACTA ITALIA SRL a Socio Unico</v>
      </c>
      <c r="F709" s="13" t="s">
        <v>14</v>
      </c>
      <c r="G709" s="15">
        <v>2355.3200000000002</v>
      </c>
    </row>
    <row r="710" spans="1:7" ht="22.5" x14ac:dyDescent="0.25">
      <c r="A710" s="13">
        <v>13068</v>
      </c>
      <c r="B710" s="14">
        <v>43416.66002314815</v>
      </c>
      <c r="C710" s="13" t="s">
        <v>10</v>
      </c>
      <c r="D710" s="13" t="str">
        <f t="shared" si="50"/>
        <v>MATERIALE PROTESICO</v>
      </c>
      <c r="E710" s="13" t="str">
        <f>"MIDA TECNOLOGIA MEDICA SPA"</f>
        <v>MIDA TECNOLOGIA MEDICA SPA</v>
      </c>
      <c r="F710" s="13" t="s">
        <v>14</v>
      </c>
      <c r="G710" s="15">
        <v>618.75</v>
      </c>
    </row>
    <row r="711" spans="1:7" ht="22.5" x14ac:dyDescent="0.25">
      <c r="A711" s="13">
        <v>13069</v>
      </c>
      <c r="B711" s="14">
        <v>43416.66002314815</v>
      </c>
      <c r="C711" s="13" t="s">
        <v>10</v>
      </c>
      <c r="D711" s="13" t="str">
        <f t="shared" si="50"/>
        <v>MATERIALE PROTESICO</v>
      </c>
      <c r="E711" s="13" t="str">
        <f t="shared" ref="E711:E725" si="51">"PERMEDICA SPA"</f>
        <v>PERMEDICA SPA</v>
      </c>
      <c r="F711" s="13" t="s">
        <v>14</v>
      </c>
      <c r="G711" s="15">
        <v>3014.4</v>
      </c>
    </row>
    <row r="712" spans="1:7" ht="22.5" x14ac:dyDescent="0.25">
      <c r="A712" s="13">
        <v>13070</v>
      </c>
      <c r="B712" s="14">
        <v>43416.66002314815</v>
      </c>
      <c r="C712" s="13" t="s">
        <v>10</v>
      </c>
      <c r="D712" s="13" t="str">
        <f t="shared" si="50"/>
        <v>MATERIALE PROTESICO</v>
      </c>
      <c r="E712" s="13" t="str">
        <f t="shared" si="51"/>
        <v>PERMEDICA SPA</v>
      </c>
      <c r="F712" s="13" t="s">
        <v>14</v>
      </c>
      <c r="G712" s="15">
        <v>3014.4</v>
      </c>
    </row>
    <row r="713" spans="1:7" ht="22.5" x14ac:dyDescent="0.25">
      <c r="A713" s="13">
        <v>13071</v>
      </c>
      <c r="B713" s="14">
        <v>43416.66002314815</v>
      </c>
      <c r="C713" s="13" t="s">
        <v>10</v>
      </c>
      <c r="D713" s="13" t="str">
        <f t="shared" si="50"/>
        <v>MATERIALE PROTESICO</v>
      </c>
      <c r="E713" s="13" t="str">
        <f t="shared" si="51"/>
        <v>PERMEDICA SPA</v>
      </c>
      <c r="F713" s="13" t="s">
        <v>14</v>
      </c>
      <c r="G713" s="15">
        <v>3014.4</v>
      </c>
    </row>
    <row r="714" spans="1:7" ht="22.5" x14ac:dyDescent="0.25">
      <c r="A714" s="13">
        <v>13072</v>
      </c>
      <c r="B714" s="14">
        <v>43416.66002314815</v>
      </c>
      <c r="C714" s="13" t="s">
        <v>10</v>
      </c>
      <c r="D714" s="13" t="str">
        <f t="shared" si="50"/>
        <v>MATERIALE PROTESICO</v>
      </c>
      <c r="E714" s="13" t="str">
        <f t="shared" si="51"/>
        <v>PERMEDICA SPA</v>
      </c>
      <c r="F714" s="13" t="s">
        <v>14</v>
      </c>
      <c r="G714" s="15">
        <v>145.19999999999999</v>
      </c>
    </row>
    <row r="715" spans="1:7" ht="22.5" x14ac:dyDescent="0.25">
      <c r="A715" s="13">
        <v>13073</v>
      </c>
      <c r="B715" s="14">
        <v>43416.66002314815</v>
      </c>
      <c r="C715" s="13" t="s">
        <v>10</v>
      </c>
      <c r="D715" s="13" t="str">
        <f t="shared" si="50"/>
        <v>MATERIALE PROTESICO</v>
      </c>
      <c r="E715" s="13" t="str">
        <f t="shared" si="51"/>
        <v>PERMEDICA SPA</v>
      </c>
      <c r="F715" s="13" t="s">
        <v>14</v>
      </c>
      <c r="G715" s="15">
        <v>676</v>
      </c>
    </row>
    <row r="716" spans="1:7" ht="22.5" x14ac:dyDescent="0.25">
      <c r="A716" s="13">
        <v>13074</v>
      </c>
      <c r="B716" s="14">
        <v>43416.66002314815</v>
      </c>
      <c r="C716" s="13" t="s">
        <v>10</v>
      </c>
      <c r="D716" s="13" t="str">
        <f t="shared" si="50"/>
        <v>MATERIALE PROTESICO</v>
      </c>
      <c r="E716" s="13" t="str">
        <f t="shared" si="51"/>
        <v>PERMEDICA SPA</v>
      </c>
      <c r="F716" s="13" t="s">
        <v>14</v>
      </c>
      <c r="G716" s="15">
        <v>2169</v>
      </c>
    </row>
    <row r="717" spans="1:7" ht="22.5" x14ac:dyDescent="0.25">
      <c r="A717" s="13">
        <v>13075</v>
      </c>
      <c r="B717" s="14">
        <v>43416.66002314815</v>
      </c>
      <c r="C717" s="13" t="s">
        <v>10</v>
      </c>
      <c r="D717" s="13" t="str">
        <f t="shared" si="50"/>
        <v>MATERIALE PROTESICO</v>
      </c>
      <c r="E717" s="13" t="str">
        <f t="shared" si="51"/>
        <v>PERMEDICA SPA</v>
      </c>
      <c r="F717" s="13" t="s">
        <v>14</v>
      </c>
      <c r="G717" s="15">
        <v>145.19999999999999</v>
      </c>
    </row>
    <row r="718" spans="1:7" ht="22.5" x14ac:dyDescent="0.25">
      <c r="A718" s="13">
        <v>13076</v>
      </c>
      <c r="B718" s="14">
        <v>43416.66002314815</v>
      </c>
      <c r="C718" s="13" t="s">
        <v>10</v>
      </c>
      <c r="D718" s="13" t="str">
        <f t="shared" si="50"/>
        <v>MATERIALE PROTESICO</v>
      </c>
      <c r="E718" s="13" t="str">
        <f t="shared" si="51"/>
        <v>PERMEDICA SPA</v>
      </c>
      <c r="F718" s="13" t="s">
        <v>14</v>
      </c>
      <c r="G718" s="15">
        <v>930</v>
      </c>
    </row>
    <row r="719" spans="1:7" ht="22.5" x14ac:dyDescent="0.25">
      <c r="A719" s="13">
        <v>13077</v>
      </c>
      <c r="B719" s="14">
        <v>43416.66002314815</v>
      </c>
      <c r="C719" s="13" t="s">
        <v>10</v>
      </c>
      <c r="D719" s="13" t="str">
        <f t="shared" si="50"/>
        <v>MATERIALE PROTESICO</v>
      </c>
      <c r="E719" s="13" t="str">
        <f t="shared" si="51"/>
        <v>PERMEDICA SPA</v>
      </c>
      <c r="F719" s="13" t="s">
        <v>14</v>
      </c>
      <c r="G719" s="15">
        <v>676</v>
      </c>
    </row>
    <row r="720" spans="1:7" ht="22.5" x14ac:dyDescent="0.25">
      <c r="A720" s="13">
        <v>13078</v>
      </c>
      <c r="B720" s="14">
        <v>43416.66002314815</v>
      </c>
      <c r="C720" s="13" t="s">
        <v>10</v>
      </c>
      <c r="D720" s="13" t="str">
        <f t="shared" si="50"/>
        <v>MATERIALE PROTESICO</v>
      </c>
      <c r="E720" s="13" t="str">
        <f t="shared" si="51"/>
        <v>PERMEDICA SPA</v>
      </c>
      <c r="F720" s="13" t="s">
        <v>14</v>
      </c>
      <c r="G720" s="15">
        <v>2672.5</v>
      </c>
    </row>
    <row r="721" spans="1:7" ht="22.5" x14ac:dyDescent="0.25">
      <c r="A721" s="13">
        <v>13079</v>
      </c>
      <c r="B721" s="14">
        <v>43416.66002314815</v>
      </c>
      <c r="C721" s="13" t="s">
        <v>10</v>
      </c>
      <c r="D721" s="13" t="str">
        <f t="shared" si="50"/>
        <v>MATERIALE PROTESICO</v>
      </c>
      <c r="E721" s="13" t="str">
        <f t="shared" si="51"/>
        <v>PERMEDICA SPA</v>
      </c>
      <c r="F721" s="13" t="s">
        <v>14</v>
      </c>
      <c r="G721" s="15">
        <v>431.2</v>
      </c>
    </row>
    <row r="722" spans="1:7" ht="22.5" x14ac:dyDescent="0.25">
      <c r="A722" s="13">
        <v>13080</v>
      </c>
      <c r="B722" s="14">
        <v>43416.66002314815</v>
      </c>
      <c r="C722" s="13" t="s">
        <v>10</v>
      </c>
      <c r="D722" s="13" t="str">
        <f t="shared" si="50"/>
        <v>MATERIALE PROTESICO</v>
      </c>
      <c r="E722" s="13" t="str">
        <f t="shared" si="51"/>
        <v>PERMEDICA SPA</v>
      </c>
      <c r="F722" s="13" t="s">
        <v>14</v>
      </c>
      <c r="G722" s="15">
        <v>2169</v>
      </c>
    </row>
    <row r="723" spans="1:7" ht="22.5" x14ac:dyDescent="0.25">
      <c r="A723" s="13">
        <v>13081</v>
      </c>
      <c r="B723" s="14">
        <v>43416.66002314815</v>
      </c>
      <c r="C723" s="13" t="s">
        <v>10</v>
      </c>
      <c r="D723" s="13" t="str">
        <f t="shared" si="50"/>
        <v>MATERIALE PROTESICO</v>
      </c>
      <c r="E723" s="13" t="str">
        <f t="shared" si="51"/>
        <v>PERMEDICA SPA</v>
      </c>
      <c r="F723" s="13" t="s">
        <v>14</v>
      </c>
      <c r="G723" s="15">
        <v>260</v>
      </c>
    </row>
    <row r="724" spans="1:7" ht="22.5" x14ac:dyDescent="0.25">
      <c r="A724" s="13">
        <v>13082</v>
      </c>
      <c r="B724" s="14">
        <v>43416.66002314815</v>
      </c>
      <c r="C724" s="13" t="s">
        <v>10</v>
      </c>
      <c r="D724" s="13" t="str">
        <f t="shared" si="50"/>
        <v>MATERIALE PROTESICO</v>
      </c>
      <c r="E724" s="13" t="str">
        <f t="shared" si="51"/>
        <v>PERMEDICA SPA</v>
      </c>
      <c r="F724" s="13" t="s">
        <v>14</v>
      </c>
      <c r="G724" s="15">
        <v>718.6</v>
      </c>
    </row>
    <row r="725" spans="1:7" ht="22.5" x14ac:dyDescent="0.25">
      <c r="A725" s="13">
        <v>13083</v>
      </c>
      <c r="B725" s="14">
        <v>43416.66002314815</v>
      </c>
      <c r="C725" s="13" t="s">
        <v>10</v>
      </c>
      <c r="D725" s="13" t="str">
        <f t="shared" si="50"/>
        <v>MATERIALE PROTESICO</v>
      </c>
      <c r="E725" s="13" t="str">
        <f t="shared" si="51"/>
        <v>PERMEDICA SPA</v>
      </c>
      <c r="F725" s="13" t="s">
        <v>14</v>
      </c>
      <c r="G725" s="15">
        <v>718.6</v>
      </c>
    </row>
    <row r="726" spans="1:7" ht="33.75" x14ac:dyDescent="0.25">
      <c r="A726" s="13">
        <v>13084</v>
      </c>
      <c r="B726" s="14">
        <v>43416.66002314815</v>
      </c>
      <c r="C726" s="13" t="s">
        <v>10</v>
      </c>
      <c r="D726" s="13" t="str">
        <f>"PRESIDI MEDICO-CHIRURGICI GENERICI E AUSILI TECNICI PER DISABILI M"</f>
        <v>PRESIDI MEDICO-CHIRURGICI GENERICI E AUSILI TECNICI PER DISABILI M</v>
      </c>
      <c r="E726" s="13" t="str">
        <f>"P.M.A. SRL - Produttori Medicali Associati"</f>
        <v>P.M.A. SRL - Produttori Medicali Associati</v>
      </c>
      <c r="F726" s="13" t="s">
        <v>14</v>
      </c>
      <c r="G726" s="15">
        <v>162</v>
      </c>
    </row>
    <row r="727" spans="1:7" ht="22.5" x14ac:dyDescent="0.25">
      <c r="A727" s="13">
        <v>13085</v>
      </c>
      <c r="B727" s="14">
        <v>43416.66002314815</v>
      </c>
      <c r="C727" s="13" t="s">
        <v>10</v>
      </c>
      <c r="D727" s="13" t="str">
        <f>"PRODOTTI FARMACEUTICI CON AIC"</f>
        <v>PRODOTTI FARMACEUTICI CON AIC</v>
      </c>
      <c r="E727" s="13" t="str">
        <f>"MYLAN ITALIA SRL GIA' BGP PRODUCTS SRL a Socio Unico"</f>
        <v>MYLAN ITALIA SRL GIA' BGP PRODUCTS SRL a Socio Unico</v>
      </c>
      <c r="F727" s="13" t="s">
        <v>14</v>
      </c>
      <c r="G727" s="15">
        <v>14.5</v>
      </c>
    </row>
    <row r="728" spans="1:7" ht="22.5" x14ac:dyDescent="0.25">
      <c r="A728" s="13">
        <v>13086</v>
      </c>
      <c r="B728" s="14">
        <v>43416.660034722219</v>
      </c>
      <c r="C728" s="13" t="s">
        <v>10</v>
      </c>
      <c r="D728" s="13" t="str">
        <f>"ALTRI SERVIZI S.T."</f>
        <v>ALTRI SERVIZI S.T.</v>
      </c>
      <c r="E728" s="13" t="str">
        <f>"SE.MA COSTRUZIONI SRL"</f>
        <v>SE.MA COSTRUZIONI SRL</v>
      </c>
      <c r="F728" s="13" t="str">
        <f>"ALTRE SPESE PER SERV.NON SANITARI"</f>
        <v>ALTRE SPESE PER SERV.NON SANITARI</v>
      </c>
      <c r="G728" s="15">
        <v>700</v>
      </c>
    </row>
    <row r="729" spans="1:7" ht="33.75" x14ac:dyDescent="0.25">
      <c r="A729" s="13">
        <v>13087</v>
      </c>
      <c r="B729" s="14">
        <v>43416.660034722219</v>
      </c>
      <c r="C729" s="13" t="s">
        <v>10</v>
      </c>
      <c r="D729" s="13" t="str">
        <f>"DISPOSITIVI DI SOMMINISTRAZIONE, PRELIEVO E RACCOLTA (CIN A)"</f>
        <v>DISPOSITIVI DI SOMMINISTRAZIONE, PRELIEVO E RACCOLTA (CIN A)</v>
      </c>
      <c r="E729" s="13" t="str">
        <f>"RAYS SPA"</f>
        <v>RAYS SPA</v>
      </c>
      <c r="F729" s="13" t="s">
        <v>14</v>
      </c>
      <c r="G729" s="15">
        <v>628</v>
      </c>
    </row>
    <row r="730" spans="1:7" ht="22.5" x14ac:dyDescent="0.25">
      <c r="A730" s="13">
        <v>13088</v>
      </c>
      <c r="B730" s="14">
        <v>43416.660034722219</v>
      </c>
      <c r="C730" s="13" t="s">
        <v>10</v>
      </c>
      <c r="D730" s="13" t="str">
        <f>"FARMACI FILE F"</f>
        <v>FARMACI FILE F</v>
      </c>
      <c r="E730" s="13" t="str">
        <f>"SANDOZ SPA"</f>
        <v>SANDOZ SPA</v>
      </c>
      <c r="F730" s="13" t="s">
        <v>14</v>
      </c>
      <c r="G730" s="15">
        <v>1872.67</v>
      </c>
    </row>
    <row r="731" spans="1:7" ht="22.5" x14ac:dyDescent="0.25">
      <c r="A731" s="13">
        <v>13089</v>
      </c>
      <c r="B731" s="14">
        <v>43416.660034722219</v>
      </c>
      <c r="C731" s="13" t="s">
        <v>11</v>
      </c>
      <c r="D731" s="13" t="str">
        <f>"MANUTENZIONE ALTRI BENI ST"</f>
        <v>MANUTENZIONE ALTRI BENI ST</v>
      </c>
      <c r="E731" s="13" t="str">
        <f>"SANIPUR SRL"</f>
        <v>SANIPUR SRL</v>
      </c>
      <c r="F731" s="13" t="s">
        <v>22</v>
      </c>
      <c r="G731" s="15">
        <v>622.84</v>
      </c>
    </row>
    <row r="732" spans="1:7" ht="22.5" x14ac:dyDescent="0.25">
      <c r="A732" s="13">
        <v>13090</v>
      </c>
      <c r="B732" s="14">
        <v>43416.660034722219</v>
      </c>
      <c r="C732" s="13" t="s">
        <v>10</v>
      </c>
      <c r="D732" s="13" t="str">
        <f t="shared" ref="D732:D739" si="52">"MATERIALE PROTESICO"</f>
        <v>MATERIALE PROTESICO</v>
      </c>
      <c r="E732" s="13" t="str">
        <f>"PERMEDICA SPA"</f>
        <v>PERMEDICA SPA</v>
      </c>
      <c r="F732" s="13" t="s">
        <v>14</v>
      </c>
      <c r="G732" s="15">
        <v>145.19999999999999</v>
      </c>
    </row>
    <row r="733" spans="1:7" ht="22.5" x14ac:dyDescent="0.25">
      <c r="A733" s="13">
        <v>13091</v>
      </c>
      <c r="B733" s="14">
        <v>43416.660034722219</v>
      </c>
      <c r="C733" s="13" t="s">
        <v>10</v>
      </c>
      <c r="D733" s="13" t="str">
        <f t="shared" si="52"/>
        <v>MATERIALE PROTESICO</v>
      </c>
      <c r="E733" s="13" t="str">
        <f>"PERMEDICA SPA"</f>
        <v>PERMEDICA SPA</v>
      </c>
      <c r="F733" s="13" t="s">
        <v>14</v>
      </c>
      <c r="G733" s="15">
        <v>1351.6</v>
      </c>
    </row>
    <row r="734" spans="1:7" ht="22.5" x14ac:dyDescent="0.25">
      <c r="A734" s="13">
        <v>13092</v>
      </c>
      <c r="B734" s="14">
        <v>43416.660034722219</v>
      </c>
      <c r="C734" s="13" t="s">
        <v>10</v>
      </c>
      <c r="D734" s="13" t="str">
        <f t="shared" si="52"/>
        <v>MATERIALE PROTESICO</v>
      </c>
      <c r="E734" s="13" t="str">
        <f t="shared" ref="E734:E739" si="53">"SMITH &amp; NEPHEW SRL Societa Unipersonale"</f>
        <v>SMITH &amp; NEPHEW SRL Societa Unipersonale</v>
      </c>
      <c r="F734" s="13" t="s">
        <v>14</v>
      </c>
      <c r="G734" s="15">
        <v>1055</v>
      </c>
    </row>
    <row r="735" spans="1:7" ht="22.5" x14ac:dyDescent="0.25">
      <c r="A735" s="13">
        <v>13093</v>
      </c>
      <c r="B735" s="14">
        <v>43416.660034722219</v>
      </c>
      <c r="C735" s="13" t="s">
        <v>10</v>
      </c>
      <c r="D735" s="13" t="str">
        <f t="shared" si="52"/>
        <v>MATERIALE PROTESICO</v>
      </c>
      <c r="E735" s="13" t="str">
        <f t="shared" si="53"/>
        <v>SMITH &amp; NEPHEW SRL Societa Unipersonale</v>
      </c>
      <c r="F735" s="13" t="s">
        <v>14</v>
      </c>
      <c r="G735" s="15">
        <v>175</v>
      </c>
    </row>
    <row r="736" spans="1:7" ht="22.5" x14ac:dyDescent="0.25">
      <c r="A736" s="13">
        <v>13094</v>
      </c>
      <c r="B736" s="14">
        <v>43416.660034722219</v>
      </c>
      <c r="C736" s="13" t="s">
        <v>10</v>
      </c>
      <c r="D736" s="13" t="str">
        <f t="shared" si="52"/>
        <v>MATERIALE PROTESICO</v>
      </c>
      <c r="E736" s="13" t="str">
        <f t="shared" si="53"/>
        <v>SMITH &amp; NEPHEW SRL Societa Unipersonale</v>
      </c>
      <c r="F736" s="13" t="s">
        <v>14</v>
      </c>
      <c r="G736" s="15">
        <v>175</v>
      </c>
    </row>
    <row r="737" spans="1:7" ht="22.5" x14ac:dyDescent="0.25">
      <c r="A737" s="13">
        <v>13095</v>
      </c>
      <c r="B737" s="14">
        <v>43416.660034722219</v>
      </c>
      <c r="C737" s="13" t="s">
        <v>10</v>
      </c>
      <c r="D737" s="13" t="str">
        <f t="shared" si="52"/>
        <v>MATERIALE PROTESICO</v>
      </c>
      <c r="E737" s="13" t="str">
        <f t="shared" si="53"/>
        <v>SMITH &amp; NEPHEW SRL Societa Unipersonale</v>
      </c>
      <c r="F737" s="13" t="s">
        <v>14</v>
      </c>
      <c r="G737" s="15">
        <v>175</v>
      </c>
    </row>
    <row r="738" spans="1:7" ht="22.5" x14ac:dyDescent="0.25">
      <c r="A738" s="13">
        <v>13096</v>
      </c>
      <c r="B738" s="14">
        <v>43416.660034722219</v>
      </c>
      <c r="C738" s="13" t="s">
        <v>10</v>
      </c>
      <c r="D738" s="13" t="str">
        <f t="shared" si="52"/>
        <v>MATERIALE PROTESICO</v>
      </c>
      <c r="E738" s="13" t="str">
        <f t="shared" si="53"/>
        <v>SMITH &amp; NEPHEW SRL Societa Unipersonale</v>
      </c>
      <c r="F738" s="13" t="s">
        <v>14</v>
      </c>
      <c r="G738" s="15">
        <v>570</v>
      </c>
    </row>
    <row r="739" spans="1:7" ht="22.5" x14ac:dyDescent="0.25">
      <c r="A739" s="13">
        <v>13097</v>
      </c>
      <c r="B739" s="14">
        <v>43416.660034722219</v>
      </c>
      <c r="C739" s="13" t="s">
        <v>10</v>
      </c>
      <c r="D739" s="13" t="str">
        <f t="shared" si="52"/>
        <v>MATERIALE PROTESICO</v>
      </c>
      <c r="E739" s="13" t="str">
        <f t="shared" si="53"/>
        <v>SMITH &amp; NEPHEW SRL Societa Unipersonale</v>
      </c>
      <c r="F739" s="13" t="s">
        <v>14</v>
      </c>
      <c r="G739" s="15">
        <v>749.89</v>
      </c>
    </row>
    <row r="740" spans="1:7" ht="33.75" x14ac:dyDescent="0.25">
      <c r="A740" s="13">
        <v>13098</v>
      </c>
      <c r="B740" s="14">
        <v>43416.660034722219</v>
      </c>
      <c r="C740" s="13" t="s">
        <v>10</v>
      </c>
      <c r="D740" s="13" t="str">
        <f>"PRESIDI MEDICO-CHIRURGICI GENERICI E AUSILI TECNICI PER DISABILI M"</f>
        <v>PRESIDI MEDICO-CHIRURGICI GENERICI E AUSILI TECNICI PER DISABILI M</v>
      </c>
      <c r="E740" s="13" t="str">
        <f>"SANTEX SPA"</f>
        <v>SANTEX SPA</v>
      </c>
      <c r="F740" s="13" t="s">
        <v>14</v>
      </c>
      <c r="G740" s="15">
        <v>2172</v>
      </c>
    </row>
    <row r="741" spans="1:7" ht="33.75" x14ac:dyDescent="0.25">
      <c r="A741" s="13">
        <v>13099</v>
      </c>
      <c r="B741" s="14">
        <v>43416.660034722219</v>
      </c>
      <c r="C741" s="13" t="s">
        <v>10</v>
      </c>
      <c r="D741" s="13" t="str">
        <f>"PRESIDI MEDICO-CHIRURGICI GENERICI E AUSILI TECNICI PER DISABILI M"</f>
        <v>PRESIDI MEDICO-CHIRURGICI GENERICI E AUSILI TECNICI PER DISABILI M</v>
      </c>
      <c r="E741" s="13" t="str">
        <f>"SANTEX SPA"</f>
        <v>SANTEX SPA</v>
      </c>
      <c r="F741" s="13" t="s">
        <v>14</v>
      </c>
      <c r="G741" s="15">
        <v>289.60000000000002</v>
      </c>
    </row>
    <row r="742" spans="1:7" ht="33.75" x14ac:dyDescent="0.25">
      <c r="A742" s="13">
        <v>13100</v>
      </c>
      <c r="B742" s="14">
        <v>43416.660034722219</v>
      </c>
      <c r="C742" s="13" t="s">
        <v>10</v>
      </c>
      <c r="D742" s="13" t="str">
        <f>"PRESIDI MEDICO-CHIRURGICI GENERICI E AUSILI TECNICI PER DISABILI T"</f>
        <v>PRESIDI MEDICO-CHIRURGICI GENERICI E AUSILI TECNICI PER DISABILI T</v>
      </c>
      <c r="E742" s="13" t="str">
        <f>"SANTEX SPA"</f>
        <v>SANTEX SPA</v>
      </c>
      <c r="F742" s="13" t="s">
        <v>14</v>
      </c>
      <c r="G742" s="15">
        <v>420</v>
      </c>
    </row>
    <row r="743" spans="1:7" ht="22.5" x14ac:dyDescent="0.25">
      <c r="A743" s="13">
        <v>13101</v>
      </c>
      <c r="B743" s="14">
        <v>43416.660034722219</v>
      </c>
      <c r="C743" s="13" t="s">
        <v>10</v>
      </c>
      <c r="D743" s="13" t="str">
        <f>"PRODOTTI FARMACEUTICI CON AIC"</f>
        <v>PRODOTTI FARMACEUTICI CON AIC</v>
      </c>
      <c r="E743" s="13" t="str">
        <f>"PFIZER ITALIA SRL"</f>
        <v>PFIZER ITALIA SRL</v>
      </c>
      <c r="F743" s="13" t="s">
        <v>14</v>
      </c>
      <c r="G743" s="15">
        <v>579.89</v>
      </c>
    </row>
    <row r="744" spans="1:7" ht="22.5" x14ac:dyDescent="0.25">
      <c r="A744" s="13">
        <v>13102</v>
      </c>
      <c r="B744" s="14">
        <v>43416.660034722219</v>
      </c>
      <c r="C744" s="13" t="s">
        <v>10</v>
      </c>
      <c r="D744" s="13" t="str">
        <f>"PRODOTTI FARMACEUTICI CON AIC"</f>
        <v>PRODOTTI FARMACEUTICI CON AIC</v>
      </c>
      <c r="E744" s="13" t="str">
        <f>"SANDOZ SPA"</f>
        <v>SANDOZ SPA</v>
      </c>
      <c r="F744" s="13" t="s">
        <v>14</v>
      </c>
      <c r="G744" s="15">
        <v>14.99</v>
      </c>
    </row>
    <row r="745" spans="1:7" ht="22.5" x14ac:dyDescent="0.25">
      <c r="A745" s="13">
        <v>13103</v>
      </c>
      <c r="B745" s="14">
        <v>43416.660034722219</v>
      </c>
      <c r="C745" s="13" t="s">
        <v>10</v>
      </c>
      <c r="D745" s="13" t="str">
        <f>"PRODOTTI FARMACEUTICI CON AIC"</f>
        <v>PRODOTTI FARMACEUTICI CON AIC</v>
      </c>
      <c r="E745" s="13" t="str">
        <f>"SANOFI SPA"</f>
        <v>SANOFI SPA</v>
      </c>
      <c r="F745" s="13" t="s">
        <v>14</v>
      </c>
      <c r="G745" s="15">
        <v>68</v>
      </c>
    </row>
    <row r="746" spans="1:7" ht="22.5" x14ac:dyDescent="0.25">
      <c r="A746" s="13">
        <v>13104</v>
      </c>
      <c r="B746" s="14">
        <v>43416.660046296296</v>
      </c>
      <c r="C746" s="13" t="s">
        <v>10</v>
      </c>
      <c r="D746" s="13" t="str">
        <f>"CANCELLERIA E SUPPORTI MECCANOGRAFICI"</f>
        <v>CANCELLERIA E SUPPORTI MECCANOGRAFICI</v>
      </c>
      <c r="E746" s="13" t="str">
        <f>"SOLUZIONI UFFICIO SRL"</f>
        <v>SOLUZIONI UFFICIO SRL</v>
      </c>
      <c r="F746" s="13" t="s">
        <v>14</v>
      </c>
      <c r="G746" s="15">
        <v>272.95999999999998</v>
      </c>
    </row>
    <row r="747" spans="1:7" ht="22.5" x14ac:dyDescent="0.25">
      <c r="A747" s="13">
        <v>13105</v>
      </c>
      <c r="B747" s="14">
        <v>43416.660046296296</v>
      </c>
      <c r="C747" s="13" t="s">
        <v>10</v>
      </c>
      <c r="D747" s="13" t="str">
        <f>"CANCELLERIA E SUPPORTI MECCANOGRAFICI"</f>
        <v>CANCELLERIA E SUPPORTI MECCANOGRAFICI</v>
      </c>
      <c r="E747" s="13" t="str">
        <f>"SOLUZIONI UFFICIO SRL"</f>
        <v>SOLUZIONI UFFICIO SRL</v>
      </c>
      <c r="F747" s="13" t="s">
        <v>14</v>
      </c>
      <c r="G747" s="15">
        <v>196.99</v>
      </c>
    </row>
    <row r="748" spans="1:7" ht="22.5" x14ac:dyDescent="0.25">
      <c r="A748" s="13">
        <v>13106</v>
      </c>
      <c r="B748" s="14">
        <v>43416.660046296296</v>
      </c>
      <c r="C748" s="13" t="s">
        <v>10</v>
      </c>
      <c r="D748" s="13" t="str">
        <f>"CANCELLERIA E SUPPORTI MECCANOGRAFICI"</f>
        <v>CANCELLERIA E SUPPORTI MECCANOGRAFICI</v>
      </c>
      <c r="E748" s="13" t="str">
        <f>"SOLUZIONI UFFICIO SRL"</f>
        <v>SOLUZIONI UFFICIO SRL</v>
      </c>
      <c r="F748" s="13" t="s">
        <v>14</v>
      </c>
      <c r="G748" s="15">
        <v>173.55</v>
      </c>
    </row>
    <row r="749" spans="1:7" ht="33.75" x14ac:dyDescent="0.25">
      <c r="A749" s="13">
        <v>13107</v>
      </c>
      <c r="B749" s="14">
        <v>43416.660046296296</v>
      </c>
      <c r="C749" s="13" t="s">
        <v>10</v>
      </c>
      <c r="D749" s="13" t="str">
        <f>"DISINFETTANTI, PRODOTTI PER STERILIZZAZIONE E DISPOSITIVI VARI S"</f>
        <v>DISINFETTANTI, PRODOTTI PER STERILIZZAZIONE E DISPOSITIVI VARI S</v>
      </c>
      <c r="E749" s="13" t="str">
        <f>"STERIS SRL"</f>
        <v>STERIS SRL</v>
      </c>
      <c r="F749" s="13" t="s">
        <v>14</v>
      </c>
      <c r="G749" s="15">
        <v>1025.5999999999999</v>
      </c>
    </row>
    <row r="750" spans="1:7" ht="22.5" x14ac:dyDescent="0.25">
      <c r="A750" s="13">
        <v>13108</v>
      </c>
      <c r="B750" s="14">
        <v>43416.660046296296</v>
      </c>
      <c r="C750" s="13" t="s">
        <v>10</v>
      </c>
      <c r="D750" s="13" t="str">
        <f>"DISPOSITIVI PER APPARATO CARDIOCIRCOLATORIO (C)"</f>
        <v>DISPOSITIVI PER APPARATO CARDIOCIRCOLATORIO (C)</v>
      </c>
      <c r="E750" s="13" t="str">
        <f>"SYLCO SRL"</f>
        <v>SYLCO SRL</v>
      </c>
      <c r="F750" s="13" t="s">
        <v>14</v>
      </c>
      <c r="G750" s="15">
        <v>300</v>
      </c>
    </row>
    <row r="751" spans="1:7" ht="22.5" x14ac:dyDescent="0.25">
      <c r="A751" s="13">
        <v>13109</v>
      </c>
      <c r="B751" s="14">
        <v>43416.660046296296</v>
      </c>
      <c r="C751" s="13" t="s">
        <v>10</v>
      </c>
      <c r="D751" s="13" t="str">
        <f>"FARMACI FILE F"</f>
        <v>FARMACI FILE F</v>
      </c>
      <c r="E751" s="13" t="str">
        <f>"SWEDISH ORPHAN BIOVITRUM SRL"</f>
        <v>SWEDISH ORPHAN BIOVITRUM SRL</v>
      </c>
      <c r="F751" s="13" t="s">
        <v>14</v>
      </c>
      <c r="G751" s="15">
        <v>5877.45</v>
      </c>
    </row>
    <row r="752" spans="1:7" ht="22.5" x14ac:dyDescent="0.25">
      <c r="A752" s="13">
        <v>13110</v>
      </c>
      <c r="B752" s="14">
        <v>43416.660046296296</v>
      </c>
      <c r="C752" s="13" t="s">
        <v>10</v>
      </c>
      <c r="D752" s="13" t="str">
        <f t="shared" ref="D752:D761" si="54">"MATERIALE PROTESICO"</f>
        <v>MATERIALE PROTESICO</v>
      </c>
      <c r="E752" s="13" t="str">
        <f>"SMITH &amp; NEPHEW SRL Societa Unipersonale"</f>
        <v>SMITH &amp; NEPHEW SRL Societa Unipersonale</v>
      </c>
      <c r="F752" s="13" t="s">
        <v>14</v>
      </c>
      <c r="G752" s="15">
        <v>175</v>
      </c>
    </row>
    <row r="753" spans="1:7" ht="22.5" x14ac:dyDescent="0.25">
      <c r="A753" s="13">
        <v>13111</v>
      </c>
      <c r="B753" s="14">
        <v>43416.660046296296</v>
      </c>
      <c r="C753" s="13" t="s">
        <v>10</v>
      </c>
      <c r="D753" s="13" t="str">
        <f t="shared" si="54"/>
        <v>MATERIALE PROTESICO</v>
      </c>
      <c r="E753" s="13" t="str">
        <f t="shared" ref="E753:E761" si="55">"STRYKER ITALIA SRL"</f>
        <v>STRYKER ITALIA SRL</v>
      </c>
      <c r="F753" s="13" t="s">
        <v>14</v>
      </c>
      <c r="G753" s="15">
        <v>961</v>
      </c>
    </row>
    <row r="754" spans="1:7" ht="22.5" x14ac:dyDescent="0.25">
      <c r="A754" s="13">
        <v>13112</v>
      </c>
      <c r="B754" s="14">
        <v>43416.660046296296</v>
      </c>
      <c r="C754" s="13" t="s">
        <v>10</v>
      </c>
      <c r="D754" s="13" t="str">
        <f t="shared" si="54"/>
        <v>MATERIALE PROTESICO</v>
      </c>
      <c r="E754" s="13" t="str">
        <f t="shared" si="55"/>
        <v>STRYKER ITALIA SRL</v>
      </c>
      <c r="F754" s="13" t="s">
        <v>14</v>
      </c>
      <c r="G754" s="15">
        <v>1394.26</v>
      </c>
    </row>
    <row r="755" spans="1:7" ht="22.5" x14ac:dyDescent="0.25">
      <c r="A755" s="13">
        <v>13113</v>
      </c>
      <c r="B755" s="14">
        <v>43416.660046296296</v>
      </c>
      <c r="C755" s="13" t="s">
        <v>10</v>
      </c>
      <c r="D755" s="13" t="str">
        <f t="shared" si="54"/>
        <v>MATERIALE PROTESICO</v>
      </c>
      <c r="E755" s="13" t="str">
        <f t="shared" si="55"/>
        <v>STRYKER ITALIA SRL</v>
      </c>
      <c r="F755" s="13" t="s">
        <v>14</v>
      </c>
      <c r="G755" s="15">
        <v>176</v>
      </c>
    </row>
    <row r="756" spans="1:7" ht="22.5" x14ac:dyDescent="0.25">
      <c r="A756" s="13">
        <v>13114</v>
      </c>
      <c r="B756" s="14">
        <v>43416.660046296296</v>
      </c>
      <c r="C756" s="13" t="s">
        <v>10</v>
      </c>
      <c r="D756" s="13" t="str">
        <f t="shared" si="54"/>
        <v>MATERIALE PROTESICO</v>
      </c>
      <c r="E756" s="13" t="str">
        <f t="shared" si="55"/>
        <v>STRYKER ITALIA SRL</v>
      </c>
      <c r="F756" s="13" t="s">
        <v>14</v>
      </c>
      <c r="G756" s="15">
        <v>819.15</v>
      </c>
    </row>
    <row r="757" spans="1:7" ht="22.5" x14ac:dyDescent="0.25">
      <c r="A757" s="13">
        <v>13115</v>
      </c>
      <c r="B757" s="14">
        <v>43416.660046296296</v>
      </c>
      <c r="C757" s="13" t="s">
        <v>10</v>
      </c>
      <c r="D757" s="13" t="str">
        <f t="shared" si="54"/>
        <v>MATERIALE PROTESICO</v>
      </c>
      <c r="E757" s="13" t="str">
        <f t="shared" si="55"/>
        <v>STRYKER ITALIA SRL</v>
      </c>
      <c r="F757" s="13" t="s">
        <v>14</v>
      </c>
      <c r="G757" s="15">
        <v>2527.6999999999998</v>
      </c>
    </row>
    <row r="758" spans="1:7" ht="22.5" x14ac:dyDescent="0.25">
      <c r="A758" s="13">
        <v>13116</v>
      </c>
      <c r="B758" s="14">
        <v>43416.660046296296</v>
      </c>
      <c r="C758" s="13" t="s">
        <v>10</v>
      </c>
      <c r="D758" s="13" t="str">
        <f t="shared" si="54"/>
        <v>MATERIALE PROTESICO</v>
      </c>
      <c r="E758" s="13" t="str">
        <f t="shared" si="55"/>
        <v>STRYKER ITALIA SRL</v>
      </c>
      <c r="F758" s="13" t="s">
        <v>14</v>
      </c>
      <c r="G758" s="15">
        <v>395.34</v>
      </c>
    </row>
    <row r="759" spans="1:7" ht="22.5" x14ac:dyDescent="0.25">
      <c r="A759" s="13">
        <v>13117</v>
      </c>
      <c r="B759" s="14">
        <v>43416.660046296296</v>
      </c>
      <c r="C759" s="13" t="s">
        <v>10</v>
      </c>
      <c r="D759" s="13" t="str">
        <f t="shared" si="54"/>
        <v>MATERIALE PROTESICO</v>
      </c>
      <c r="E759" s="13" t="str">
        <f t="shared" si="55"/>
        <v>STRYKER ITALIA SRL</v>
      </c>
      <c r="F759" s="13" t="s">
        <v>14</v>
      </c>
      <c r="G759" s="15">
        <v>2832</v>
      </c>
    </row>
    <row r="760" spans="1:7" ht="22.5" x14ac:dyDescent="0.25">
      <c r="A760" s="13">
        <v>13118</v>
      </c>
      <c r="B760" s="14">
        <v>43416.660046296296</v>
      </c>
      <c r="C760" s="13" t="s">
        <v>10</v>
      </c>
      <c r="D760" s="13" t="str">
        <f t="shared" si="54"/>
        <v>MATERIALE PROTESICO</v>
      </c>
      <c r="E760" s="13" t="str">
        <f t="shared" si="55"/>
        <v>STRYKER ITALIA SRL</v>
      </c>
      <c r="F760" s="13" t="s">
        <v>14</v>
      </c>
      <c r="G760" s="15">
        <v>961</v>
      </c>
    </row>
    <row r="761" spans="1:7" ht="22.5" x14ac:dyDescent="0.25">
      <c r="A761" s="13">
        <v>13119</v>
      </c>
      <c r="B761" s="14">
        <v>43416.660046296296</v>
      </c>
      <c r="C761" s="13" t="s">
        <v>10</v>
      </c>
      <c r="D761" s="13" t="str">
        <f t="shared" si="54"/>
        <v>MATERIALE PROTESICO</v>
      </c>
      <c r="E761" s="13" t="str">
        <f t="shared" si="55"/>
        <v>STRYKER ITALIA SRL</v>
      </c>
      <c r="F761" s="13" t="s">
        <v>14</v>
      </c>
      <c r="G761" s="15">
        <v>2832</v>
      </c>
    </row>
    <row r="762" spans="1:7" ht="33.75" x14ac:dyDescent="0.25">
      <c r="A762" s="13">
        <v>13120</v>
      </c>
      <c r="B762" s="14">
        <v>43416.660046296296</v>
      </c>
      <c r="C762" s="13" t="s">
        <v>10</v>
      </c>
      <c r="D762" s="13" t="str">
        <f>"PRESIDI MEDICO-CHIRURGICI GENERICI E AUSILI TECNICI PER DISABILI M"</f>
        <v>PRESIDI MEDICO-CHIRURGICI GENERICI E AUSILI TECNICI PER DISABILI M</v>
      </c>
      <c r="E762" s="13" t="str">
        <f>"SMITH &amp; NEPHEW SRL Societa Unipersonale"</f>
        <v>SMITH &amp; NEPHEW SRL Societa Unipersonale</v>
      </c>
      <c r="F762" s="13" t="s">
        <v>14</v>
      </c>
      <c r="G762" s="15">
        <v>595</v>
      </c>
    </row>
    <row r="763" spans="1:7" ht="22.5" x14ac:dyDescent="0.25">
      <c r="A763" s="13">
        <v>13121</v>
      </c>
      <c r="B763" s="14">
        <v>43416.660046296296</v>
      </c>
      <c r="C763" s="13" t="s">
        <v>10</v>
      </c>
      <c r="D763" s="13" t="str">
        <f>"PRODOTTI FARMACEUTICI CON AIC"</f>
        <v>PRODOTTI FARMACEUTICI CON AIC</v>
      </c>
      <c r="E763" s="13" t="str">
        <f>"SOFAR SPA"</f>
        <v>SOFAR SPA</v>
      </c>
      <c r="F763" s="13" t="s">
        <v>14</v>
      </c>
      <c r="G763" s="15">
        <v>398.66</v>
      </c>
    </row>
    <row r="764" spans="1:7" ht="22.5" x14ac:dyDescent="0.25">
      <c r="A764" s="13">
        <v>13122</v>
      </c>
      <c r="B764" s="14">
        <v>43416.660057870373</v>
      </c>
      <c r="C764" s="13" t="s">
        <v>10</v>
      </c>
      <c r="D764" s="13" t="str">
        <f>"CANCELLERIA E SUPPORTI MECCANOGRAFICI"</f>
        <v>CANCELLERIA E SUPPORTI MECCANOGRAFICI</v>
      </c>
      <c r="E764" s="13" t="str">
        <f>"VALSECCHI CANCELLERIA SRL"</f>
        <v>VALSECCHI CANCELLERIA SRL</v>
      </c>
      <c r="F764" s="13" t="s">
        <v>14</v>
      </c>
      <c r="G764" s="15">
        <v>3081</v>
      </c>
    </row>
    <row r="765" spans="1:7" ht="22.5" x14ac:dyDescent="0.25">
      <c r="A765" s="13">
        <v>13123</v>
      </c>
      <c r="B765" s="14">
        <v>43416.660057870373</v>
      </c>
      <c r="C765" s="13" t="s">
        <v>10</v>
      </c>
      <c r="D765" s="13" t="str">
        <f>"DISPOSITIVI PER APPARATO CARDIOCIRCOLATORIO (C)"</f>
        <v>DISPOSITIVI PER APPARATO CARDIOCIRCOLATORIO (C)</v>
      </c>
      <c r="E765" s="13" t="str">
        <f>"VYGON ITALIA SRL"</f>
        <v>VYGON ITALIA SRL</v>
      </c>
      <c r="F765" s="13" t="s">
        <v>14</v>
      </c>
      <c r="G765" s="15">
        <v>209</v>
      </c>
    </row>
    <row r="766" spans="1:7" ht="22.5" x14ac:dyDescent="0.25">
      <c r="A766" s="13">
        <v>13124</v>
      </c>
      <c r="B766" s="14">
        <v>43416.660057870373</v>
      </c>
      <c r="C766" s="13" t="s">
        <v>10</v>
      </c>
      <c r="D766" s="13" t="str">
        <f>"FARMACI FILE F"</f>
        <v>FARMACI FILE F</v>
      </c>
      <c r="E766" s="13" t="str">
        <f>"UCB PHARMA SPA"</f>
        <v>UCB PHARMA SPA</v>
      </c>
      <c r="F766" s="13" t="s">
        <v>14</v>
      </c>
      <c r="G766" s="15">
        <v>8196.6</v>
      </c>
    </row>
    <row r="767" spans="1:7" ht="22.5" x14ac:dyDescent="0.25">
      <c r="A767" s="13">
        <v>13125</v>
      </c>
      <c r="B767" s="14">
        <v>43416.660057870373</v>
      </c>
      <c r="C767" s="13" t="s">
        <v>10</v>
      </c>
      <c r="D767" s="13" t="str">
        <f t="shared" ref="D767:D774" si="56">"MATERIALE PROTESICO"</f>
        <v>MATERIALE PROTESICO</v>
      </c>
      <c r="E767" s="13" t="str">
        <f>"TORNIER SRL Societa Unipersonale"</f>
        <v>TORNIER SRL Societa Unipersonale</v>
      </c>
      <c r="F767" s="13" t="s">
        <v>14</v>
      </c>
      <c r="G767" s="15">
        <v>2705</v>
      </c>
    </row>
    <row r="768" spans="1:7" ht="22.5" x14ac:dyDescent="0.25">
      <c r="A768" s="13">
        <v>13126</v>
      </c>
      <c r="B768" s="14">
        <v>43416.660057870373</v>
      </c>
      <c r="C768" s="13" t="s">
        <v>10</v>
      </c>
      <c r="D768" s="13" t="str">
        <f t="shared" si="56"/>
        <v>MATERIALE PROTESICO</v>
      </c>
      <c r="E768" s="13" t="str">
        <f>"WRIGHT MEDICAL ITALY SRL a Socio Unico"</f>
        <v>WRIGHT MEDICAL ITALY SRL a Socio Unico</v>
      </c>
      <c r="F768" s="13" t="s">
        <v>14</v>
      </c>
      <c r="G768" s="15">
        <v>463.2</v>
      </c>
    </row>
    <row r="769" spans="1:7" ht="22.5" x14ac:dyDescent="0.25">
      <c r="A769" s="13">
        <v>13127</v>
      </c>
      <c r="B769" s="14">
        <v>43416.660057870373</v>
      </c>
      <c r="C769" s="13" t="s">
        <v>10</v>
      </c>
      <c r="D769" s="13" t="str">
        <f t="shared" si="56"/>
        <v>MATERIALE PROTESICO</v>
      </c>
      <c r="E769" s="13" t="str">
        <f t="shared" ref="E769:E774" si="57">"ZIMMER BIOMET ITALIA SRL"</f>
        <v>ZIMMER BIOMET ITALIA SRL</v>
      </c>
      <c r="F769" s="13" t="s">
        <v>14</v>
      </c>
      <c r="G769" s="15">
        <v>460.6</v>
      </c>
    </row>
    <row r="770" spans="1:7" ht="22.5" x14ac:dyDescent="0.25">
      <c r="A770" s="13">
        <v>13128</v>
      </c>
      <c r="B770" s="14">
        <v>43416.660057870373</v>
      </c>
      <c r="C770" s="13" t="s">
        <v>10</v>
      </c>
      <c r="D770" s="13" t="str">
        <f t="shared" si="56"/>
        <v>MATERIALE PROTESICO</v>
      </c>
      <c r="E770" s="13" t="str">
        <f t="shared" si="57"/>
        <v>ZIMMER BIOMET ITALIA SRL</v>
      </c>
      <c r="F770" s="13" t="s">
        <v>14</v>
      </c>
      <c r="G770" s="15">
        <v>999.92</v>
      </c>
    </row>
    <row r="771" spans="1:7" ht="22.5" x14ac:dyDescent="0.25">
      <c r="A771" s="13">
        <v>13129</v>
      </c>
      <c r="B771" s="14">
        <v>43416.660057870373</v>
      </c>
      <c r="C771" s="13" t="s">
        <v>10</v>
      </c>
      <c r="D771" s="13" t="str">
        <f t="shared" si="56"/>
        <v>MATERIALE PROTESICO</v>
      </c>
      <c r="E771" s="13" t="str">
        <f t="shared" si="57"/>
        <v>ZIMMER BIOMET ITALIA SRL</v>
      </c>
      <c r="F771" s="13" t="s">
        <v>14</v>
      </c>
      <c r="G771" s="15">
        <v>1191.92</v>
      </c>
    </row>
    <row r="772" spans="1:7" ht="22.5" x14ac:dyDescent="0.25">
      <c r="A772" s="13">
        <v>13130</v>
      </c>
      <c r="B772" s="14">
        <v>43416.660057870373</v>
      </c>
      <c r="C772" s="13" t="s">
        <v>10</v>
      </c>
      <c r="D772" s="13" t="str">
        <f t="shared" si="56"/>
        <v>MATERIALE PROTESICO</v>
      </c>
      <c r="E772" s="13" t="str">
        <f t="shared" si="57"/>
        <v>ZIMMER BIOMET ITALIA SRL</v>
      </c>
      <c r="F772" s="13" t="s">
        <v>14</v>
      </c>
      <c r="G772" s="15">
        <v>2527.1999999999998</v>
      </c>
    </row>
    <row r="773" spans="1:7" ht="22.5" x14ac:dyDescent="0.25">
      <c r="A773" s="13">
        <v>13131</v>
      </c>
      <c r="B773" s="14">
        <v>43416.660057870373</v>
      </c>
      <c r="C773" s="13" t="s">
        <v>10</v>
      </c>
      <c r="D773" s="13" t="str">
        <f t="shared" si="56"/>
        <v>MATERIALE PROTESICO</v>
      </c>
      <c r="E773" s="13" t="str">
        <f t="shared" si="57"/>
        <v>ZIMMER BIOMET ITALIA SRL</v>
      </c>
      <c r="F773" s="13" t="s">
        <v>14</v>
      </c>
      <c r="G773" s="15">
        <v>2608</v>
      </c>
    </row>
    <row r="774" spans="1:7" ht="22.5" x14ac:dyDescent="0.25">
      <c r="A774" s="13">
        <v>13132</v>
      </c>
      <c r="B774" s="14">
        <v>43416.660057870373</v>
      </c>
      <c r="C774" s="13" t="s">
        <v>10</v>
      </c>
      <c r="D774" s="13" t="str">
        <f t="shared" si="56"/>
        <v>MATERIALE PROTESICO</v>
      </c>
      <c r="E774" s="13" t="str">
        <f t="shared" si="57"/>
        <v>ZIMMER BIOMET ITALIA SRL</v>
      </c>
      <c r="F774" s="13" t="s">
        <v>14</v>
      </c>
      <c r="G774" s="15">
        <v>388.78</v>
      </c>
    </row>
    <row r="775" spans="1:7" ht="22.5" x14ac:dyDescent="0.25">
      <c r="A775" s="13">
        <v>13133</v>
      </c>
      <c r="B775" s="14">
        <v>43416.660057870373</v>
      </c>
      <c r="C775" s="13" t="s">
        <v>10</v>
      </c>
      <c r="D775" s="13" t="str">
        <f>"PRODOTTI FARMACEUTICI CON AIC"</f>
        <v>PRODOTTI FARMACEUTICI CON AIC</v>
      </c>
      <c r="E775" s="13" t="str">
        <f>"ZAMBON ITALIA SRL Societa Unipersonale"</f>
        <v>ZAMBON ITALIA SRL Societa Unipersonale</v>
      </c>
      <c r="F775" s="13" t="s">
        <v>14</v>
      </c>
      <c r="G775" s="15">
        <v>200.11</v>
      </c>
    </row>
    <row r="776" spans="1:7" ht="33.75" x14ac:dyDescent="0.25">
      <c r="A776" s="13">
        <v>13134</v>
      </c>
      <c r="B776" s="14">
        <v>43416.662488425929</v>
      </c>
      <c r="C776" s="13" t="s">
        <v>10</v>
      </c>
      <c r="D776" s="13" t="str">
        <f>"PRESIDI MEDICO-CHIRURGICI GENERICI E AUSILI TECNICI PER DISABILI M"</f>
        <v>PRESIDI MEDICO-CHIRURGICI GENERICI E AUSILI TECNICI PER DISABILI M</v>
      </c>
      <c r="E776" s="13" t="str">
        <f>"LOHMANN &amp; RAUSCHER SRL Soc. Unipersonale"</f>
        <v>LOHMANN &amp; RAUSCHER SRL Soc. Unipersonale</v>
      </c>
      <c r="F776" s="13" t="s">
        <v>14</v>
      </c>
      <c r="G776" s="15">
        <v>44.6</v>
      </c>
    </row>
    <row r="777" spans="1:7" ht="33.75" x14ac:dyDescent="0.25">
      <c r="A777" s="13">
        <v>13135</v>
      </c>
      <c r="B777" s="14">
        <v>43416.662488425929</v>
      </c>
      <c r="C777" s="13" t="s">
        <v>10</v>
      </c>
      <c r="D777" s="13" t="str">
        <f>"PRESIDI MEDICO-CHIRURGICI GENERICI E AUSILI TECNICI PER DISABILI M"</f>
        <v>PRESIDI MEDICO-CHIRURGICI GENERICI E AUSILI TECNICI PER DISABILI M</v>
      </c>
      <c r="E777" s="13" t="str">
        <f>"LOHMANN &amp; RAUSCHER SRL Soc. Unipersonale"</f>
        <v>LOHMANN &amp; RAUSCHER SRL Soc. Unipersonale</v>
      </c>
      <c r="F777" s="13" t="s">
        <v>14</v>
      </c>
      <c r="G777" s="15">
        <v>371.01</v>
      </c>
    </row>
    <row r="778" spans="1:7" ht="33.75" x14ac:dyDescent="0.25">
      <c r="A778" s="13">
        <v>13136</v>
      </c>
      <c r="B778" s="14">
        <v>43416.662488425929</v>
      </c>
      <c r="C778" s="13" t="s">
        <v>10</v>
      </c>
      <c r="D778" s="13" t="str">
        <f>"PRESIDI MEDICO-CHIRURGICI GENERICI E AUSILI TECNICI PER DISABILI M"</f>
        <v>PRESIDI MEDICO-CHIRURGICI GENERICI E AUSILI TECNICI PER DISABILI M</v>
      </c>
      <c r="E778" s="13" t="str">
        <f>"LOHMANN &amp; RAUSCHER SRL Soc. Unipersonale"</f>
        <v>LOHMANN &amp; RAUSCHER SRL Soc. Unipersonale</v>
      </c>
      <c r="F778" s="13" t="s">
        <v>14</v>
      </c>
      <c r="G778" s="15">
        <v>178</v>
      </c>
    </row>
    <row r="779" spans="1:7" ht="33.75" x14ac:dyDescent="0.25">
      <c r="A779" s="13">
        <v>13137</v>
      </c>
      <c r="B779" s="14">
        <v>43416.662488425929</v>
      </c>
      <c r="C779" s="13" t="s">
        <v>10</v>
      </c>
      <c r="D779" s="13" t="str">
        <f>"PRESIDI MEDICO-CHIRURGICI GENERICI E AUSILI TECNICI PER DISABILI M"</f>
        <v>PRESIDI MEDICO-CHIRURGICI GENERICI E AUSILI TECNICI PER DISABILI M</v>
      </c>
      <c r="E779" s="13" t="str">
        <f>"LOHMANN &amp; RAUSCHER SRL Soc. Unipersonale"</f>
        <v>LOHMANN &amp; RAUSCHER SRL Soc. Unipersonale</v>
      </c>
      <c r="F779" s="13" t="s">
        <v>14</v>
      </c>
      <c r="G779" s="15">
        <v>41</v>
      </c>
    </row>
    <row r="780" spans="1:7" ht="22.5" x14ac:dyDescent="0.25">
      <c r="A780" s="13">
        <v>13138</v>
      </c>
      <c r="B780" s="14">
        <v>43418.413229166668</v>
      </c>
      <c r="C780" s="13" t="s">
        <v>10</v>
      </c>
      <c r="D780" s="13" t="str">
        <f>"CONCESSIONE MILANO A PER CARTELLE ESATTORIALI"</f>
        <v>CONCESSIONE MILANO A PER CARTELLE ESATTORIALI</v>
      </c>
      <c r="E780" s="13" t="str">
        <f>"COMUNE DI MILANO"</f>
        <v>COMUNE DI MILANO</v>
      </c>
      <c r="F780" s="13" t="str">
        <f>"TARI 2017 - CTO"</f>
        <v>TARI 2017 - CTO</v>
      </c>
      <c r="G780" s="15">
        <v>46606</v>
      </c>
    </row>
    <row r="781" spans="1:7" ht="22.5" x14ac:dyDescent="0.25">
      <c r="A781" s="13">
        <v>13139</v>
      </c>
      <c r="B781" s="14">
        <v>43418.427858796298</v>
      </c>
      <c r="C781" s="13" t="s">
        <v>11</v>
      </c>
      <c r="D781" s="13" t="str">
        <f>"ALTRI ONERI TRIBUTARI INDIRETTI"</f>
        <v>ALTRI ONERI TRIBUTARI INDIRETTI</v>
      </c>
      <c r="E781" s="13" t="str">
        <f>"COMUNE DI MILANO"</f>
        <v>COMUNE DI MILANO</v>
      </c>
      <c r="F781" s="13" t="str">
        <f>"Pagamento COSAP-PASSI CARRAI"</f>
        <v>Pagamento COSAP-PASSI CARRAI</v>
      </c>
      <c r="G781" s="15">
        <v>422</v>
      </c>
    </row>
    <row r="782" spans="1:7" ht="22.5" x14ac:dyDescent="0.25">
      <c r="A782" s="13">
        <v>13140</v>
      </c>
      <c r="B782" s="14">
        <v>43418.460972222223</v>
      </c>
      <c r="C782" s="13" t="s">
        <v>10</v>
      </c>
      <c r="D782" s="13" t="str">
        <f>"CARBURANTI E LUBRIFICANTI PER TRASPORTO"</f>
        <v>CARBURANTI E LUBRIFICANTI PER TRASPORTO</v>
      </c>
      <c r="E782" s="13" t="str">
        <f>"KUWAIT PETROLEUM ITALIA SPA"</f>
        <v>KUWAIT PETROLEUM ITALIA SPA</v>
      </c>
      <c r="F782" s="13" t="s">
        <v>14</v>
      </c>
      <c r="G782" s="15">
        <v>321.38</v>
      </c>
    </row>
    <row r="783" spans="1:7" ht="22.5" x14ac:dyDescent="0.25">
      <c r="A783" s="13">
        <v>13141</v>
      </c>
      <c r="B783" s="14">
        <v>43418.460972222223</v>
      </c>
      <c r="C783" s="13" t="s">
        <v>10</v>
      </c>
      <c r="D783" s="13" t="str">
        <f>"CONSULENZE SANITARIE DA PRIVATO"</f>
        <v>CONSULENZE SANITARIE DA PRIVATO</v>
      </c>
      <c r="E783" s="13" t="str">
        <f>"BERGANTIN ACHILLE"</f>
        <v>BERGANTIN ACHILLE</v>
      </c>
      <c r="F783" s="13" t="str">
        <f>"CONS.CO.CO.,INTER.DA STUTT.SANIT.DA PRIV"</f>
        <v>CONS.CO.CO.,INTER.DA STUTT.SANIT.DA PRIV</v>
      </c>
      <c r="G783" s="15">
        <v>12540.9</v>
      </c>
    </row>
    <row r="784" spans="1:7" ht="22.5" x14ac:dyDescent="0.25">
      <c r="A784" s="13">
        <v>13142</v>
      </c>
      <c r="B784" s="14">
        <v>43418.460972222223</v>
      </c>
      <c r="C784" s="13" t="s">
        <v>10</v>
      </c>
      <c r="D784" s="13" t="str">
        <f>"FT RIC BIOGENETICS SRL"</f>
        <v>FT RIC BIOGENETICS SRL</v>
      </c>
      <c r="E784" s="13" t="str">
        <f>"BIOGEN ITALIA SRL"</f>
        <v>BIOGEN ITALIA SRL</v>
      </c>
      <c r="F784" s="13" t="s">
        <v>14</v>
      </c>
      <c r="G784" s="15">
        <v>2516</v>
      </c>
    </row>
    <row r="785" spans="1:7" ht="22.5" x14ac:dyDescent="0.25">
      <c r="A785" s="13">
        <v>13143</v>
      </c>
      <c r="B785" s="14">
        <v>43418.460972222223</v>
      </c>
      <c r="C785" s="13" t="s">
        <v>10</v>
      </c>
      <c r="D785" s="13" t="str">
        <f>"SOPRAVVENIENZE PASSIVE"</f>
        <v>SOPRAVVENIENZE PASSIVE</v>
      </c>
      <c r="E785" s="13" t="str">
        <f>"ARJO ITALIA SPA"</f>
        <v>ARJO ITALIA SPA</v>
      </c>
      <c r="F785" s="13" t="str">
        <f>"ACQ.SERV.NON SANITARI"</f>
        <v>ACQ.SERV.NON SANITARI</v>
      </c>
      <c r="G785" s="15">
        <v>1348</v>
      </c>
    </row>
    <row r="786" spans="1:7" ht="22.5" x14ac:dyDescent="0.25">
      <c r="A786" s="13">
        <v>13144</v>
      </c>
      <c r="B786" s="14">
        <v>43418.4609837963</v>
      </c>
      <c r="C786" s="13" t="s">
        <v>10</v>
      </c>
      <c r="D786" s="13" t="str">
        <f t="shared" ref="D786:D794" si="58">"ACQUA GAS RAI TV"</f>
        <v>ACQUA GAS RAI TV</v>
      </c>
      <c r="E786" s="13" t="str">
        <f t="shared" ref="E786:E794" si="59">"MM SPA"</f>
        <v>MM SPA</v>
      </c>
      <c r="F786" s="13" t="s">
        <v>19</v>
      </c>
      <c r="G786" s="15">
        <v>7751</v>
      </c>
    </row>
    <row r="787" spans="1:7" ht="22.5" x14ac:dyDescent="0.25">
      <c r="A787" s="13">
        <v>13145</v>
      </c>
      <c r="B787" s="14">
        <v>43418.4609837963</v>
      </c>
      <c r="C787" s="13" t="s">
        <v>10</v>
      </c>
      <c r="D787" s="13" t="str">
        <f t="shared" si="58"/>
        <v>ACQUA GAS RAI TV</v>
      </c>
      <c r="E787" s="13" t="str">
        <f t="shared" si="59"/>
        <v>MM SPA</v>
      </c>
      <c r="F787" s="13" t="s">
        <v>19</v>
      </c>
      <c r="G787" s="15">
        <v>8690</v>
      </c>
    </row>
    <row r="788" spans="1:7" ht="22.5" x14ac:dyDescent="0.25">
      <c r="A788" s="13">
        <v>13146</v>
      </c>
      <c r="B788" s="14">
        <v>43418.4609837963</v>
      </c>
      <c r="C788" s="13" t="s">
        <v>10</v>
      </c>
      <c r="D788" s="13" t="str">
        <f t="shared" si="58"/>
        <v>ACQUA GAS RAI TV</v>
      </c>
      <c r="E788" s="13" t="str">
        <f t="shared" si="59"/>
        <v>MM SPA</v>
      </c>
      <c r="F788" s="13" t="s">
        <v>19</v>
      </c>
      <c r="G788" s="15">
        <v>1688</v>
      </c>
    </row>
    <row r="789" spans="1:7" ht="22.5" x14ac:dyDescent="0.25">
      <c r="A789" s="13">
        <v>13147</v>
      </c>
      <c r="B789" s="14">
        <v>43418.4609837963</v>
      </c>
      <c r="C789" s="13" t="s">
        <v>10</v>
      </c>
      <c r="D789" s="13" t="str">
        <f t="shared" si="58"/>
        <v>ACQUA GAS RAI TV</v>
      </c>
      <c r="E789" s="13" t="str">
        <f t="shared" si="59"/>
        <v>MM SPA</v>
      </c>
      <c r="F789" s="13" t="s">
        <v>19</v>
      </c>
      <c r="G789" s="15">
        <v>11642</v>
      </c>
    </row>
    <row r="790" spans="1:7" ht="22.5" x14ac:dyDescent="0.25">
      <c r="A790" s="13">
        <v>13148</v>
      </c>
      <c r="B790" s="14">
        <v>43418.4609837963</v>
      </c>
      <c r="C790" s="13" t="s">
        <v>10</v>
      </c>
      <c r="D790" s="13" t="str">
        <f t="shared" si="58"/>
        <v>ACQUA GAS RAI TV</v>
      </c>
      <c r="E790" s="13" t="str">
        <f t="shared" si="59"/>
        <v>MM SPA</v>
      </c>
      <c r="F790" s="13" t="s">
        <v>19</v>
      </c>
      <c r="G790" s="15">
        <v>448</v>
      </c>
    </row>
    <row r="791" spans="1:7" ht="22.5" x14ac:dyDescent="0.25">
      <c r="A791" s="13">
        <v>13149</v>
      </c>
      <c r="B791" s="14">
        <v>43418.4609837963</v>
      </c>
      <c r="C791" s="13" t="s">
        <v>10</v>
      </c>
      <c r="D791" s="13" t="str">
        <f t="shared" si="58"/>
        <v>ACQUA GAS RAI TV</v>
      </c>
      <c r="E791" s="13" t="str">
        <f t="shared" si="59"/>
        <v>MM SPA</v>
      </c>
      <c r="F791" s="13" t="s">
        <v>19</v>
      </c>
      <c r="G791" s="15">
        <v>34</v>
      </c>
    </row>
    <row r="792" spans="1:7" ht="22.5" x14ac:dyDescent="0.25">
      <c r="A792" s="13">
        <v>13150</v>
      </c>
      <c r="B792" s="14">
        <v>43418.4609837963</v>
      </c>
      <c r="C792" s="13" t="s">
        <v>10</v>
      </c>
      <c r="D792" s="13" t="str">
        <f t="shared" si="58"/>
        <v>ACQUA GAS RAI TV</v>
      </c>
      <c r="E792" s="13" t="str">
        <f t="shared" si="59"/>
        <v>MM SPA</v>
      </c>
      <c r="F792" s="13" t="s">
        <v>19</v>
      </c>
      <c r="G792" s="15">
        <v>414</v>
      </c>
    </row>
    <row r="793" spans="1:7" ht="22.5" x14ac:dyDescent="0.25">
      <c r="A793" s="13">
        <v>13151</v>
      </c>
      <c r="B793" s="14">
        <v>43418.4609837963</v>
      </c>
      <c r="C793" s="13" t="s">
        <v>10</v>
      </c>
      <c r="D793" s="13" t="str">
        <f t="shared" si="58"/>
        <v>ACQUA GAS RAI TV</v>
      </c>
      <c r="E793" s="13" t="str">
        <f t="shared" si="59"/>
        <v>MM SPA</v>
      </c>
      <c r="F793" s="13" t="s">
        <v>19</v>
      </c>
      <c r="G793" s="15">
        <v>18</v>
      </c>
    </row>
    <row r="794" spans="1:7" ht="22.5" x14ac:dyDescent="0.25">
      <c r="A794" s="13">
        <v>13152</v>
      </c>
      <c r="B794" s="14">
        <v>43418.4609837963</v>
      </c>
      <c r="C794" s="13" t="s">
        <v>10</v>
      </c>
      <c r="D794" s="13" t="str">
        <f t="shared" si="58"/>
        <v>ACQUA GAS RAI TV</v>
      </c>
      <c r="E794" s="13" t="str">
        <f t="shared" si="59"/>
        <v>MM SPA</v>
      </c>
      <c r="F794" s="13" t="s">
        <v>19</v>
      </c>
      <c r="G794" s="15">
        <v>21061</v>
      </c>
    </row>
    <row r="795" spans="1:7" ht="22.5" x14ac:dyDescent="0.25">
      <c r="A795" s="13">
        <v>13153</v>
      </c>
      <c r="B795" s="14">
        <v>43418.4609837963</v>
      </c>
      <c r="C795" s="13" t="s">
        <v>10</v>
      </c>
      <c r="D795" s="13" t="str">
        <f>"ALTRI SERVIZI SANITARI DA PRIVATI"</f>
        <v>ALTRI SERVIZI SANITARI DA PRIVATI</v>
      </c>
      <c r="E795" s="13" t="str">
        <f>"L.T. CENTRO SERVIZI di Lorenzo Toselli"</f>
        <v>L.T. CENTRO SERVIZI di Lorenzo Toselli</v>
      </c>
      <c r="F795" s="13" t="str">
        <f>"ALTRI ACQU.SERV.E PREST.SAN.ALTRI SOG."</f>
        <v>ALTRI ACQU.SERV.E PREST.SAN.ALTRI SOG.</v>
      </c>
      <c r="G795" s="15">
        <v>2798</v>
      </c>
    </row>
    <row r="796" spans="1:7" ht="22.5" x14ac:dyDescent="0.25">
      <c r="A796" s="13">
        <v>13154</v>
      </c>
      <c r="B796" s="14">
        <v>43418.4609837963</v>
      </c>
      <c r="C796" s="13" t="s">
        <v>10</v>
      </c>
      <c r="D796" s="13" t="str">
        <f>"ALTRI SERVIZI SANITARI DA PRIVATI"</f>
        <v>ALTRI SERVIZI SANITARI DA PRIVATI</v>
      </c>
      <c r="E796" s="13" t="str">
        <f>"ILMI SRL"</f>
        <v>ILMI SRL</v>
      </c>
      <c r="F796" s="13" t="s">
        <v>17</v>
      </c>
      <c r="G796" s="15">
        <v>222</v>
      </c>
    </row>
    <row r="797" spans="1:7" ht="22.5" x14ac:dyDescent="0.25">
      <c r="A797" s="13">
        <v>13155</v>
      </c>
      <c r="B797" s="14">
        <v>43418.4609837963</v>
      </c>
      <c r="C797" s="13" t="s">
        <v>10</v>
      </c>
      <c r="D797" s="13" t="str">
        <f>"CONSULENZE SANITARIE DA PRIVATO"</f>
        <v>CONSULENZE SANITARIE DA PRIVATO</v>
      </c>
      <c r="E797" s="13" t="str">
        <f>"HUMANITAS MIRASOLE SPA"</f>
        <v>HUMANITAS MIRASOLE SPA</v>
      </c>
      <c r="F797" s="13" t="str">
        <f>"CONS.CO.CO.,INTER.DA STUTT.SANIT.DA PRIV"</f>
        <v>CONS.CO.CO.,INTER.DA STUTT.SANIT.DA PRIV</v>
      </c>
      <c r="G797" s="15">
        <v>237.5</v>
      </c>
    </row>
    <row r="798" spans="1:7" ht="22.5" x14ac:dyDescent="0.25">
      <c r="A798" s="13">
        <v>13156</v>
      </c>
      <c r="B798" s="14">
        <v>43418.4609837963</v>
      </c>
      <c r="C798" s="13" t="s">
        <v>10</v>
      </c>
      <c r="D798" s="13" t="str">
        <f>"FT RIC BIOGENETICS SRL"</f>
        <v>FT RIC BIOGENETICS SRL</v>
      </c>
      <c r="E798" s="13" t="str">
        <f>"BIOGEN ITALIA SRL"</f>
        <v>BIOGEN ITALIA SRL</v>
      </c>
      <c r="F798" s="13" t="s">
        <v>14</v>
      </c>
      <c r="G798" s="15">
        <v>2513.92</v>
      </c>
    </row>
    <row r="799" spans="1:7" ht="22.5" x14ac:dyDescent="0.25">
      <c r="A799" s="13">
        <v>13157</v>
      </c>
      <c r="B799" s="14">
        <v>43418.4609837963</v>
      </c>
      <c r="C799" s="13" t="s">
        <v>13</v>
      </c>
      <c r="D799" s="13" t="str">
        <f>"FT RIC ENGINEERING INGEGNERIA"</f>
        <v>FT RIC ENGINEERING INGEGNERIA</v>
      </c>
      <c r="E799" s="13" t="str">
        <f>"ENGINEERING INGEGNERIA INFORMATICA SPA"</f>
        <v>ENGINEERING INGEGNERIA INFORMATICA SPA</v>
      </c>
      <c r="F799" s="13" t="s">
        <v>15</v>
      </c>
      <c r="G799" s="15">
        <v>3600</v>
      </c>
    </row>
    <row r="800" spans="1:7" ht="33.75" x14ac:dyDescent="0.25">
      <c r="A800" s="13">
        <v>13158</v>
      </c>
      <c r="B800" s="14">
        <v>43418.4609837963</v>
      </c>
      <c r="C800" s="13" t="s">
        <v>10</v>
      </c>
      <c r="D800" s="13" t="str">
        <f>"PRESTAZIONI AMBULATORIALI DIAGNOSTICA STRUMENTALE DA PRIVATO"</f>
        <v>PRESTAZIONI AMBULATORIALI DIAGNOSTICA STRUMENTALE DA PRIVATO</v>
      </c>
      <c r="E800" s="13" t="str">
        <f>"CDI - CENTRO DIAGNOSTICO ITALIANO SPA"</f>
        <v>CDI - CENTRO DIAGNOSTICO ITALIANO SPA</v>
      </c>
      <c r="F800" s="13" t="str">
        <f>"ACQ.PREST.SAN.DA PRIVATI"</f>
        <v>ACQ.PREST.SAN.DA PRIVATI</v>
      </c>
      <c r="G800" s="15">
        <v>1510.22</v>
      </c>
    </row>
    <row r="801" spans="1:7" ht="22.5" x14ac:dyDescent="0.25">
      <c r="A801" s="13">
        <v>13159</v>
      </c>
      <c r="B801" s="14">
        <v>43418.4609837963</v>
      </c>
      <c r="C801" s="13" t="s">
        <v>10</v>
      </c>
      <c r="D801" s="13" t="str">
        <f>"PRODOTTI ALIMENTARI"</f>
        <v>PRODOTTI ALIMENTARI</v>
      </c>
      <c r="E801" s="13" t="str">
        <f>"HEINZ ITALIA SPA"</f>
        <v>HEINZ ITALIA SPA</v>
      </c>
      <c r="F801" s="13" t="s">
        <v>16</v>
      </c>
      <c r="G801" s="15">
        <v>911.94</v>
      </c>
    </row>
    <row r="802" spans="1:7" ht="22.5" x14ac:dyDescent="0.25">
      <c r="A802" s="13">
        <v>13160</v>
      </c>
      <c r="B802" s="14">
        <v>43418.4609837963</v>
      </c>
      <c r="C802" s="13" t="s">
        <v>10</v>
      </c>
      <c r="D802" s="13" t="str">
        <f>"SERVIZIO AMBULANZA"</f>
        <v>SERVIZIO AMBULANZA</v>
      </c>
      <c r="E802" s="13" t="str">
        <f>"ITALASSISTANCE COOPERATIVA SOCIALE A R.L."</f>
        <v>ITALASSISTANCE COOPERATIVA SOCIALE A R.L.</v>
      </c>
      <c r="F802" s="13" t="s">
        <v>31</v>
      </c>
      <c r="G802" s="15">
        <v>8000</v>
      </c>
    </row>
    <row r="803" spans="1:7" ht="22.5" x14ac:dyDescent="0.25">
      <c r="A803" s="13">
        <v>13161</v>
      </c>
      <c r="B803" s="14">
        <v>43418.4609837963</v>
      </c>
      <c r="C803" s="13" t="s">
        <v>10</v>
      </c>
      <c r="D803" s="13" t="str">
        <f>"SERVIZIO AMBULANZA"</f>
        <v>SERVIZIO AMBULANZA</v>
      </c>
      <c r="E803" s="13" t="str">
        <f>"ITALASSISTANCE COOPERATIVA SOCIALE A R.L."</f>
        <v>ITALASSISTANCE COOPERATIVA SOCIALE A R.L.</v>
      </c>
      <c r="F803" s="13" t="s">
        <v>31</v>
      </c>
      <c r="G803" s="15">
        <v>98</v>
      </c>
    </row>
    <row r="804" spans="1:7" ht="22.5" x14ac:dyDescent="0.25">
      <c r="A804" s="13">
        <v>13162</v>
      </c>
      <c r="B804" s="14">
        <v>43418.460995370369</v>
      </c>
      <c r="C804" s="13" t="s">
        <v>10</v>
      </c>
      <c r="D804" s="13" t="str">
        <f>"ACQUA GAS RAI TV"</f>
        <v>ACQUA GAS RAI TV</v>
      </c>
      <c r="E804" s="13" t="str">
        <f>"SOENERGY SRL"</f>
        <v>SOENERGY SRL</v>
      </c>
      <c r="F804" s="13" t="s">
        <v>19</v>
      </c>
      <c r="G804" s="15">
        <v>2.66</v>
      </c>
    </row>
    <row r="805" spans="1:7" ht="22.5" x14ac:dyDescent="0.25">
      <c r="A805" s="13">
        <v>13163</v>
      </c>
      <c r="B805" s="14">
        <v>43418.460995370369</v>
      </c>
      <c r="C805" s="13" t="s">
        <v>10</v>
      </c>
      <c r="D805" s="13" t="str">
        <f>"ACQUA GAS RAI TV"</f>
        <v>ACQUA GAS RAI TV</v>
      </c>
      <c r="E805" s="13" t="str">
        <f>"SOENERGY SRL"</f>
        <v>SOENERGY SRL</v>
      </c>
      <c r="F805" s="13" t="s">
        <v>19</v>
      </c>
      <c r="G805" s="15">
        <v>-4.3099999999999996</v>
      </c>
    </row>
    <row r="806" spans="1:7" ht="22.5" x14ac:dyDescent="0.25">
      <c r="A806" s="13">
        <v>13164</v>
      </c>
      <c r="B806" s="14">
        <v>43418.460995370369</v>
      </c>
      <c r="C806" s="13" t="s">
        <v>10</v>
      </c>
      <c r="D806" s="13" t="str">
        <f>"ALTRI SERVIZI NON SANITARI DA ATS/ASST DELLA REGIONE"</f>
        <v>ALTRI SERVIZI NON SANITARI DA ATS/ASST DELLA REGIONE</v>
      </c>
      <c r="E806" s="13" t="str">
        <f>"ATS DELLA CITTA' METROPOLITANA DI MILANO"</f>
        <v>ATS DELLA CITTA' METROPOLITANA DI MILANO</v>
      </c>
      <c r="F806" s="13" t="str">
        <f>"ALTRE SPESE PER SERV.NON SANITARI"</f>
        <v>ALTRE SPESE PER SERV.NON SANITARI</v>
      </c>
      <c r="G806" s="15">
        <v>114997</v>
      </c>
    </row>
    <row r="807" spans="1:7" ht="22.5" x14ac:dyDescent="0.25">
      <c r="A807" s="13">
        <v>13165</v>
      </c>
      <c r="B807" s="14">
        <v>43418.460995370369</v>
      </c>
      <c r="C807" s="13" t="s">
        <v>10</v>
      </c>
      <c r="D807" s="13" t="str">
        <f>"ALTRI SERVIZI SANITARI DA PRIVATI"</f>
        <v>ALTRI SERVIZI SANITARI DA PRIVATI</v>
      </c>
      <c r="E807" s="13" t="str">
        <f>"X - GAMMAGUARD di  Laura Pini"</f>
        <v>X - GAMMAGUARD di  Laura Pini</v>
      </c>
      <c r="F807" s="13" t="str">
        <f>"ALTRI ACQU.SERV.E PREST.SAN.ALTRI SOG."</f>
        <v>ALTRI ACQU.SERV.E PREST.SAN.ALTRI SOG.</v>
      </c>
      <c r="G807" s="15">
        <v>184</v>
      </c>
    </row>
    <row r="808" spans="1:7" ht="22.5" x14ac:dyDescent="0.25">
      <c r="A808" s="13">
        <v>13166</v>
      </c>
      <c r="B808" s="14">
        <v>43418.460995370369</v>
      </c>
      <c r="C808" s="13" t="s">
        <v>10</v>
      </c>
      <c r="D808" s="13" t="str">
        <f>"ALTRI SERVIZI SANITARI DA PRIVATI"</f>
        <v>ALTRI SERVIZI SANITARI DA PRIVATI</v>
      </c>
      <c r="E808" s="13" t="str">
        <f>"X - GAMMAGUARD di  Laura Pini"</f>
        <v>X - GAMMAGUARD di  Laura Pini</v>
      </c>
      <c r="F808" s="13" t="str">
        <f>"ALTRI ACQU.SERV.E PREST.SAN.ALTRI SOG."</f>
        <v>ALTRI ACQU.SERV.E PREST.SAN.ALTRI SOG.</v>
      </c>
      <c r="G808" s="15">
        <v>184</v>
      </c>
    </row>
    <row r="809" spans="1:7" ht="22.5" x14ac:dyDescent="0.25">
      <c r="A809" s="13">
        <v>13167</v>
      </c>
      <c r="B809" s="14">
        <v>43418.460995370369</v>
      </c>
      <c r="C809" s="13" t="s">
        <v>10</v>
      </c>
      <c r="D809" s="13" t="str">
        <f>"ALTRI SERVIZI SANITARI DA PRIVATI"</f>
        <v>ALTRI SERVIZI SANITARI DA PRIVATI</v>
      </c>
      <c r="E809" s="13" t="str">
        <f>"X - GAMMAGUARD di  Laura Pini"</f>
        <v>X - GAMMAGUARD di  Laura Pini</v>
      </c>
      <c r="F809" s="13" t="str">
        <f>"ALTRI ACQU.SERV.E PREST.SAN.ALTRI SOG."</f>
        <v>ALTRI ACQU.SERV.E PREST.SAN.ALTRI SOG.</v>
      </c>
      <c r="G809" s="15">
        <v>271.7</v>
      </c>
    </row>
    <row r="810" spans="1:7" ht="22.5" x14ac:dyDescent="0.25">
      <c r="A810" s="13">
        <v>13168</v>
      </c>
      <c r="B810" s="14">
        <v>43418.460995370369</v>
      </c>
      <c r="C810" s="13" t="s">
        <v>10</v>
      </c>
      <c r="D810" s="13" t="str">
        <f>"ALTRI SERVIZI SANITARI DA PRIVATI"</f>
        <v>ALTRI SERVIZI SANITARI DA PRIVATI</v>
      </c>
      <c r="E810" s="13" t="str">
        <f>"X - GAMMAGUARD di  Laura Pini"</f>
        <v>X - GAMMAGUARD di  Laura Pini</v>
      </c>
      <c r="F810" s="13" t="str">
        <f>"ALTRI ACQU.SERV.E PREST.SAN.ALTRI SOG."</f>
        <v>ALTRI ACQU.SERV.E PREST.SAN.ALTRI SOG.</v>
      </c>
      <c r="G810" s="15">
        <v>630.79999999999995</v>
      </c>
    </row>
    <row r="811" spans="1:7" ht="33.75" x14ac:dyDescent="0.25">
      <c r="A811" s="13">
        <v>13169</v>
      </c>
      <c r="B811" s="14">
        <v>43418.460995370369</v>
      </c>
      <c r="C811" s="13" t="s">
        <v>10</v>
      </c>
      <c r="D811" s="13" t="str">
        <f>"ONERI STIPENDIALI PERSONALE COMPARTO AMMINISTRATIVO IN COMANDO ASST/ATS REGIONE"</f>
        <v>ONERI STIPENDIALI PERSONALE COMPARTO AMMINISTRATIVO IN COMANDO ASST/ATS REGIONE</v>
      </c>
      <c r="E811" s="13" t="str">
        <f>"ASST DI VIMERCATE"</f>
        <v>ASST DI VIMERCATE</v>
      </c>
      <c r="F811" s="13" t="s">
        <v>24</v>
      </c>
      <c r="G811" s="15">
        <v>9742.14</v>
      </c>
    </row>
    <row r="812" spans="1:7" ht="22.5" x14ac:dyDescent="0.25">
      <c r="A812" s="13">
        <v>13170</v>
      </c>
      <c r="B812" s="14">
        <v>43418.460995370369</v>
      </c>
      <c r="C812" s="13" t="s">
        <v>10</v>
      </c>
      <c r="D812" s="13" t="str">
        <f>"CONSULENZE SANITARIE ASST/ATS REGIONE"</f>
        <v>CONSULENZE SANITARIE ASST/ATS REGIONE</v>
      </c>
      <c r="E812" s="13" t="str">
        <f>"ASST FATEBENEFRATELLI SACCO"</f>
        <v>ASST FATEBENEFRATELLI SACCO</v>
      </c>
      <c r="F812" s="13" t="s">
        <v>24</v>
      </c>
      <c r="G812" s="15">
        <v>152</v>
      </c>
    </row>
    <row r="813" spans="1:7" ht="22.5" x14ac:dyDescent="0.25">
      <c r="A813" s="13">
        <v>13171</v>
      </c>
      <c r="B813" s="14">
        <v>43418.460995370369</v>
      </c>
      <c r="C813" s="13" t="s">
        <v>10</v>
      </c>
      <c r="D813" s="13" t="str">
        <f>"CONSULENZE SANITARIE ASST/ATS REGIONE"</f>
        <v>CONSULENZE SANITARIE ASST/ATS REGIONE</v>
      </c>
      <c r="E813" s="13" t="str">
        <f>"ASST GRANDE OSPEDALE METROPOLITANO NIGUARDA"</f>
        <v>ASST GRANDE OSPEDALE METROPOLITANO NIGUARDA</v>
      </c>
      <c r="F813" s="13" t="s">
        <v>24</v>
      </c>
      <c r="G813" s="15">
        <v>152</v>
      </c>
    </row>
    <row r="814" spans="1:7" ht="22.5" x14ac:dyDescent="0.25">
      <c r="A814" s="13">
        <v>13172</v>
      </c>
      <c r="B814" s="14">
        <v>43418.460995370369</v>
      </c>
      <c r="C814" s="13" t="s">
        <v>10</v>
      </c>
      <c r="D814" s="13" t="str">
        <f>"CONSULENZE SANITARIE DA PRIVATO"</f>
        <v>CONSULENZE SANITARIE DA PRIVATO</v>
      </c>
      <c r="E814" s="13" t="str">
        <f>"RONCHI SILVIA"</f>
        <v>RONCHI SILVIA</v>
      </c>
      <c r="F814" s="13" t="s">
        <v>17</v>
      </c>
      <c r="G814" s="15">
        <v>4562</v>
      </c>
    </row>
    <row r="815" spans="1:7" ht="22.5" x14ac:dyDescent="0.25">
      <c r="A815" s="13">
        <v>13173</v>
      </c>
      <c r="B815" s="14">
        <v>43418.460995370369</v>
      </c>
      <c r="C815" s="13" t="s">
        <v>10</v>
      </c>
      <c r="D815" s="13" t="str">
        <f>"CONSULENZE SANITARIE DA PRIVATO"</f>
        <v>CONSULENZE SANITARIE DA PRIVATO</v>
      </c>
      <c r="E815" s="13" t="str">
        <f>"TORGANO GIULIA"</f>
        <v>TORGANO GIULIA</v>
      </c>
      <c r="F815" s="13" t="s">
        <v>17</v>
      </c>
      <c r="G815" s="15">
        <v>2394</v>
      </c>
    </row>
    <row r="816" spans="1:7" ht="22.5" x14ac:dyDescent="0.25">
      <c r="A816" s="13">
        <v>13174</v>
      </c>
      <c r="B816" s="14">
        <v>43418.460995370369</v>
      </c>
      <c r="C816" s="13" t="s">
        <v>10</v>
      </c>
      <c r="D816" s="13" t="str">
        <f>"CONSULENZE SANITARIE ASST/ATS REGIONE"</f>
        <v>CONSULENZE SANITARIE ASST/ATS REGIONE</v>
      </c>
      <c r="E816" s="13" t="str">
        <f>"ASST FATEBENEFRATELLI SACCO"</f>
        <v>ASST FATEBENEFRATELLI SACCO</v>
      </c>
      <c r="F816" s="13" t="s">
        <v>32</v>
      </c>
      <c r="G816" s="15">
        <v>462</v>
      </c>
    </row>
    <row r="817" spans="1:7" ht="22.5" x14ac:dyDescent="0.25">
      <c r="A817" s="13">
        <v>13175</v>
      </c>
      <c r="B817" s="14">
        <v>43418.460995370369</v>
      </c>
      <c r="C817" s="13" t="s">
        <v>10</v>
      </c>
      <c r="D817" s="13" t="str">
        <f>"CONTO MIGRAZIONE PARTITE PASSIVE"</f>
        <v>CONTO MIGRAZIONE PARTITE PASSIVE</v>
      </c>
      <c r="E817" s="13" t="str">
        <f>"ASST FATEBENEFRATELLI SACCO"</f>
        <v>ASST FATEBENEFRATELLI SACCO</v>
      </c>
      <c r="F817" s="13" t="s">
        <v>32</v>
      </c>
      <c r="G817" s="15">
        <v>252</v>
      </c>
    </row>
    <row r="818" spans="1:7" ht="22.5" x14ac:dyDescent="0.25">
      <c r="A818" s="13">
        <v>13176</v>
      </c>
      <c r="B818" s="14">
        <v>43418.460995370369</v>
      </c>
      <c r="C818" s="13" t="s">
        <v>10</v>
      </c>
      <c r="D818" s="13" t="str">
        <f>"GAS PER RISCALDAMENTO"</f>
        <v>GAS PER RISCALDAMENTO</v>
      </c>
      <c r="E818" s="13" t="str">
        <f>"SOENERGY SRL"</f>
        <v>SOENERGY SRL</v>
      </c>
      <c r="F818" s="13" t="s">
        <v>33</v>
      </c>
      <c r="G818" s="15">
        <v>4.8099999999999996</v>
      </c>
    </row>
    <row r="819" spans="1:7" ht="22.5" x14ac:dyDescent="0.25">
      <c r="A819" s="13">
        <v>13177</v>
      </c>
      <c r="B819" s="14">
        <v>43418.460995370369</v>
      </c>
      <c r="C819" s="13" t="s">
        <v>10</v>
      </c>
      <c r="D819" s="13" t="str">
        <f>"GAS PER RISCALDAMENTO"</f>
        <v>GAS PER RISCALDAMENTO</v>
      </c>
      <c r="E819" s="13" t="str">
        <f>"SOENERGY SRL"</f>
        <v>SOENERGY SRL</v>
      </c>
      <c r="F819" s="13" t="s">
        <v>33</v>
      </c>
      <c r="G819" s="15">
        <v>277.94</v>
      </c>
    </row>
    <row r="820" spans="1:7" ht="22.5" x14ac:dyDescent="0.25">
      <c r="A820" s="13">
        <v>13178</v>
      </c>
      <c r="B820" s="14">
        <v>43418.460995370369</v>
      </c>
      <c r="C820" s="13" t="s">
        <v>11</v>
      </c>
      <c r="D820" s="13" t="str">
        <f>"INDENNITÀ MEMBRI COLLEGIO REVISORI"</f>
        <v>INDENNITÀ MEMBRI COLLEGIO REVISORI</v>
      </c>
      <c r="E820" s="13" t="str">
        <f>"MOTTA STEFANIA"</f>
        <v>MOTTA STEFANIA</v>
      </c>
      <c r="F820" s="13" t="s">
        <v>15</v>
      </c>
      <c r="G820" s="15">
        <v>4471.1099999999997</v>
      </c>
    </row>
    <row r="821" spans="1:7" ht="22.5" x14ac:dyDescent="0.25">
      <c r="A821" s="13">
        <v>13179</v>
      </c>
      <c r="B821" s="14">
        <v>43418.460995370369</v>
      </c>
      <c r="C821" s="13" t="s">
        <v>10</v>
      </c>
      <c r="D821" s="13" t="str">
        <f>"LAVORO INTERINALE TECNICO"</f>
        <v>LAVORO INTERINALE TECNICO</v>
      </c>
      <c r="E821" s="13" t="str">
        <f>"TEMPOR SPA - Agenzia per il lavoro"</f>
        <v>TEMPOR SPA - Agenzia per il lavoro</v>
      </c>
      <c r="F821" s="13" t="str">
        <f>"CONS.CO.CO.,INTER.NON SANIT.DA PRIVATI"</f>
        <v>CONS.CO.CO.,INTER.NON SANIT.DA PRIVATI</v>
      </c>
      <c r="G821" s="15">
        <v>14243.23</v>
      </c>
    </row>
    <row r="822" spans="1:7" ht="22.5" x14ac:dyDescent="0.25">
      <c r="A822" s="13">
        <v>13180</v>
      </c>
      <c r="B822" s="14">
        <v>43418.460995370369</v>
      </c>
      <c r="C822" s="13" t="s">
        <v>10</v>
      </c>
      <c r="D822" s="13" t="str">
        <f>"PRESTAZIONI SANITARIE DA ASST/ATS REGIONE"</f>
        <v>PRESTAZIONI SANITARIE DA ASST/ATS REGIONE</v>
      </c>
      <c r="E822" s="13" t="str">
        <f>"ASST NORD MILANO"</f>
        <v>ASST NORD MILANO</v>
      </c>
      <c r="F822" s="13" t="str">
        <f>"ACQ.PREST.SAN.DA STRUTT.SAN.REG."</f>
        <v>ACQ.PREST.SAN.DA STRUTT.SAN.REG.</v>
      </c>
      <c r="G822" s="15">
        <v>28821.43</v>
      </c>
    </row>
    <row r="823" spans="1:7" ht="22.5" x14ac:dyDescent="0.25">
      <c r="A823" s="13">
        <v>13181</v>
      </c>
      <c r="B823" s="14">
        <v>43418.460995370369</v>
      </c>
      <c r="C823" s="13" t="s">
        <v>10</v>
      </c>
      <c r="D823" s="13" t="str">
        <f>"SANGUE DA ASL-AO-IRCCS REGIONE"</f>
        <v>SANGUE DA ASL-AO-IRCCS REGIONE</v>
      </c>
      <c r="E823" s="13" t="str">
        <f>"ASST NORD MILANO"</f>
        <v>ASST NORD MILANO</v>
      </c>
      <c r="F823" s="13" t="str">
        <f>"ACQ.BENI SAN.DA ALTRE STR.SANITARIE"</f>
        <v>ACQ.BENI SAN.DA ALTRE STR.SANITARIE</v>
      </c>
      <c r="G823" s="15">
        <v>6205.51</v>
      </c>
    </row>
    <row r="824" spans="1:7" ht="22.5" x14ac:dyDescent="0.25">
      <c r="A824" s="13">
        <v>13182</v>
      </c>
      <c r="B824" s="14">
        <v>43418.460995370369</v>
      </c>
      <c r="C824" s="13" t="s">
        <v>10</v>
      </c>
      <c r="D824" s="13" t="str">
        <f>"SANGUE DA ASL-AO-IRCCS REGIONE"</f>
        <v>SANGUE DA ASL-AO-IRCCS REGIONE</v>
      </c>
      <c r="E824" s="13" t="str">
        <f>"ASST NORD MILANO"</f>
        <v>ASST NORD MILANO</v>
      </c>
      <c r="F824" s="13" t="str">
        <f>"ACQ.BENI SAN.DA ALTRE STR.SANITARIE"</f>
        <v>ACQ.BENI SAN.DA ALTRE STR.SANITARIE</v>
      </c>
      <c r="G824" s="15">
        <v>12399.36</v>
      </c>
    </row>
    <row r="825" spans="1:7" ht="22.5" x14ac:dyDescent="0.25">
      <c r="A825" s="13">
        <v>13183</v>
      </c>
      <c r="B825" s="14">
        <v>43418.460995370369</v>
      </c>
      <c r="C825" s="13" t="s">
        <v>10</v>
      </c>
      <c r="D825" s="13" t="str">
        <f>"SERVIZIO CUCINA E MENSA (ATTIVITÀ COMMERCIALE)"</f>
        <v>SERVIZIO CUCINA E MENSA (ATTIVITÀ COMMERCIALE)</v>
      </c>
      <c r="E825" s="13" t="str">
        <f>"SERIST SRL"</f>
        <v>SERIST SRL</v>
      </c>
      <c r="F825" s="13" t="s">
        <v>29</v>
      </c>
      <c r="G825" s="15">
        <v>1567.51</v>
      </c>
    </row>
    <row r="826" spans="1:7" ht="22.5" x14ac:dyDescent="0.25">
      <c r="A826" s="13">
        <v>13184</v>
      </c>
      <c r="B826" s="14">
        <v>43418.460995370369</v>
      </c>
      <c r="C826" s="13" t="s">
        <v>10</v>
      </c>
      <c r="D826" s="13" t="str">
        <f>"SERVIZIO CUCINA E MENSA (ATTIVITÀ COMMERCIALE)"</f>
        <v>SERVIZIO CUCINA E MENSA (ATTIVITÀ COMMERCIALE)</v>
      </c>
      <c r="E826" s="13" t="str">
        <f>"SERIST SRL"</f>
        <v>SERIST SRL</v>
      </c>
      <c r="F826" s="13" t="s">
        <v>29</v>
      </c>
      <c r="G826" s="15">
        <v>2801.94</v>
      </c>
    </row>
    <row r="827" spans="1:7" ht="22.5" x14ac:dyDescent="0.25">
      <c r="A827" s="13">
        <v>13185</v>
      </c>
      <c r="B827" s="14">
        <v>43418.461006944446</v>
      </c>
      <c r="C827" s="13" t="s">
        <v>10</v>
      </c>
      <c r="D827" s="13" t="str">
        <f>"CONSULENZE SANITARIE DA PUBBLICO"</f>
        <v>CONSULENZE SANITARIE DA PUBBLICO</v>
      </c>
      <c r="E827" s="13" t="str">
        <f>"AUSL DI BOLOGNA IRCCS - ISTITUTO DI SCIENZE NEUROLOGICHE"</f>
        <v>AUSL DI BOLOGNA IRCCS - ISTITUTO DI SCIENZE NEUROLOGICHE</v>
      </c>
      <c r="F827" s="13" t="s">
        <v>17</v>
      </c>
      <c r="G827" s="15">
        <v>802</v>
      </c>
    </row>
    <row r="828" spans="1:7" ht="22.5" x14ac:dyDescent="0.25">
      <c r="A828" s="13">
        <v>13186</v>
      </c>
      <c r="B828" s="14">
        <v>43418.461006944446</v>
      </c>
      <c r="C828" s="13" t="s">
        <v>10</v>
      </c>
      <c r="D828" s="13" t="str">
        <f>"CONSULENZE SANITARIE ASST/ATS REGIONE"</f>
        <v>CONSULENZE SANITARIE ASST/ATS REGIONE</v>
      </c>
      <c r="E828" s="13" t="str">
        <f>"ASST SANTI PAOLO E CARLO"</f>
        <v>ASST SANTI PAOLO E CARLO</v>
      </c>
      <c r="F828" s="13" t="s">
        <v>24</v>
      </c>
      <c r="G828" s="15">
        <v>1541</v>
      </c>
    </row>
    <row r="829" spans="1:7" ht="22.5" x14ac:dyDescent="0.25">
      <c r="A829" s="13">
        <v>13187</v>
      </c>
      <c r="B829" s="14">
        <v>43418.461006944446</v>
      </c>
      <c r="C829" s="13" t="s">
        <v>10</v>
      </c>
      <c r="D829" s="13" t="str">
        <f>"PRESTAZIONI SANITARIE DA ASST/ATS REGIONE"</f>
        <v>PRESTAZIONI SANITARIE DA ASST/ATS REGIONE</v>
      </c>
      <c r="E829" s="13" t="str">
        <f t="shared" ref="E829:E847" si="60">"FONDAZIONE IRCCS  CA'  GRANDA - OSPEDALE MAGGIORE - POLICLINICO"</f>
        <v>FONDAZIONE IRCCS  CA'  GRANDA - OSPEDALE MAGGIORE - POLICLINICO</v>
      </c>
      <c r="F829" s="13" t="s">
        <v>24</v>
      </c>
      <c r="G829" s="15">
        <v>13000</v>
      </c>
    </row>
    <row r="830" spans="1:7" ht="22.5" x14ac:dyDescent="0.25">
      <c r="A830" s="13">
        <v>13188</v>
      </c>
      <c r="B830" s="14">
        <v>43418.461006944446</v>
      </c>
      <c r="C830" s="13" t="s">
        <v>10</v>
      </c>
      <c r="D830" s="13" t="str">
        <f>"PRESTAZIONI SANITARIE DA ASST/ATS REGIONE"</f>
        <v>PRESTAZIONI SANITARIE DA ASST/ATS REGIONE</v>
      </c>
      <c r="E830" s="13" t="str">
        <f t="shared" si="60"/>
        <v>FONDAZIONE IRCCS  CA'  GRANDA - OSPEDALE MAGGIORE - POLICLINICO</v>
      </c>
      <c r="F830" s="13" t="s">
        <v>24</v>
      </c>
      <c r="G830" s="15">
        <v>13100</v>
      </c>
    </row>
    <row r="831" spans="1:7" ht="22.5" x14ac:dyDescent="0.25">
      <c r="A831" s="13">
        <v>13189</v>
      </c>
      <c r="B831" s="14">
        <v>43418.461006944446</v>
      </c>
      <c r="C831" s="13" t="s">
        <v>10</v>
      </c>
      <c r="D831" s="13" t="str">
        <f>"CONSULENZE SANITARIE ASST/ATS REGIONE"</f>
        <v>CONSULENZE SANITARIE ASST/ATS REGIONE</v>
      </c>
      <c r="E831" s="13" t="str">
        <f t="shared" si="60"/>
        <v>FONDAZIONE IRCCS  CA'  GRANDA - OSPEDALE MAGGIORE - POLICLINICO</v>
      </c>
      <c r="F831" s="13" t="s">
        <v>24</v>
      </c>
      <c r="G831" s="15">
        <v>12153.32</v>
      </c>
    </row>
    <row r="832" spans="1:7" ht="22.5" x14ac:dyDescent="0.25">
      <c r="A832" s="13">
        <v>13190</v>
      </c>
      <c r="B832" s="14">
        <v>43418.461006944446</v>
      </c>
      <c r="C832" s="13" t="s">
        <v>10</v>
      </c>
      <c r="D832" s="13" t="str">
        <f t="shared" ref="D832:D838" si="61">"PRESTAZIONI SANITARIE DA ASST/ATS REGIONE"</f>
        <v>PRESTAZIONI SANITARIE DA ASST/ATS REGIONE</v>
      </c>
      <c r="E832" s="13" t="str">
        <f t="shared" si="60"/>
        <v>FONDAZIONE IRCCS  CA'  GRANDA - OSPEDALE MAGGIORE - POLICLINICO</v>
      </c>
      <c r="F832" s="13" t="s">
        <v>24</v>
      </c>
      <c r="G832" s="15">
        <v>11578</v>
      </c>
    </row>
    <row r="833" spans="1:7" ht="22.5" x14ac:dyDescent="0.25">
      <c r="A833" s="13">
        <v>13191</v>
      </c>
      <c r="B833" s="14">
        <v>43418.461006944446</v>
      </c>
      <c r="C833" s="13" t="s">
        <v>10</v>
      </c>
      <c r="D833" s="13" t="str">
        <f t="shared" si="61"/>
        <v>PRESTAZIONI SANITARIE DA ASST/ATS REGIONE</v>
      </c>
      <c r="E833" s="13" t="str">
        <f t="shared" si="60"/>
        <v>FONDAZIONE IRCCS  CA'  GRANDA - OSPEDALE MAGGIORE - POLICLINICO</v>
      </c>
      <c r="F833" s="13" t="s">
        <v>24</v>
      </c>
      <c r="G833" s="15">
        <v>86.4</v>
      </c>
    </row>
    <row r="834" spans="1:7" ht="22.5" x14ac:dyDescent="0.25">
      <c r="A834" s="13">
        <v>13192</v>
      </c>
      <c r="B834" s="14">
        <v>43418.461006944446</v>
      </c>
      <c r="C834" s="13" t="s">
        <v>10</v>
      </c>
      <c r="D834" s="13" t="str">
        <f t="shared" si="61"/>
        <v>PRESTAZIONI SANITARIE DA ASST/ATS REGIONE</v>
      </c>
      <c r="E834" s="13" t="str">
        <f t="shared" si="60"/>
        <v>FONDAZIONE IRCCS  CA'  GRANDA - OSPEDALE MAGGIORE - POLICLINICO</v>
      </c>
      <c r="F834" s="13" t="s">
        <v>24</v>
      </c>
      <c r="G834" s="15">
        <v>141.87</v>
      </c>
    </row>
    <row r="835" spans="1:7" ht="22.5" x14ac:dyDescent="0.25">
      <c r="A835" s="13">
        <v>13193</v>
      </c>
      <c r="B835" s="14">
        <v>43418.461006944446</v>
      </c>
      <c r="C835" s="13" t="s">
        <v>10</v>
      </c>
      <c r="D835" s="13" t="str">
        <f t="shared" si="61"/>
        <v>PRESTAZIONI SANITARIE DA ASST/ATS REGIONE</v>
      </c>
      <c r="E835" s="13" t="str">
        <f t="shared" si="60"/>
        <v>FONDAZIONE IRCCS  CA'  GRANDA - OSPEDALE MAGGIORE - POLICLINICO</v>
      </c>
      <c r="F835" s="13" t="s">
        <v>24</v>
      </c>
      <c r="G835" s="15">
        <v>141.87</v>
      </c>
    </row>
    <row r="836" spans="1:7" ht="22.5" x14ac:dyDescent="0.25">
      <c r="A836" s="13">
        <v>13194</v>
      </c>
      <c r="B836" s="14">
        <v>43418.461006944446</v>
      </c>
      <c r="C836" s="13" t="s">
        <v>10</v>
      </c>
      <c r="D836" s="13" t="str">
        <f t="shared" si="61"/>
        <v>PRESTAZIONI SANITARIE DA ASST/ATS REGIONE</v>
      </c>
      <c r="E836" s="13" t="str">
        <f t="shared" si="60"/>
        <v>FONDAZIONE IRCCS  CA'  GRANDA - OSPEDALE MAGGIORE - POLICLINICO</v>
      </c>
      <c r="F836" s="13" t="s">
        <v>24</v>
      </c>
      <c r="G836" s="15">
        <v>145.81</v>
      </c>
    </row>
    <row r="837" spans="1:7" ht="22.5" x14ac:dyDescent="0.25">
      <c r="A837" s="13">
        <v>13195</v>
      </c>
      <c r="B837" s="14">
        <v>43418.461006944446</v>
      </c>
      <c r="C837" s="13" t="s">
        <v>10</v>
      </c>
      <c r="D837" s="13" t="str">
        <f t="shared" si="61"/>
        <v>PRESTAZIONI SANITARIE DA ASST/ATS REGIONE</v>
      </c>
      <c r="E837" s="13" t="str">
        <f t="shared" si="60"/>
        <v>FONDAZIONE IRCCS  CA'  GRANDA - OSPEDALE MAGGIORE - POLICLINICO</v>
      </c>
      <c r="F837" s="13" t="s">
        <v>24</v>
      </c>
      <c r="G837" s="15">
        <v>185.24</v>
      </c>
    </row>
    <row r="838" spans="1:7" ht="22.5" x14ac:dyDescent="0.25">
      <c r="A838" s="13">
        <v>13196</v>
      </c>
      <c r="B838" s="14">
        <v>43418.461006944446</v>
      </c>
      <c r="C838" s="13" t="s">
        <v>10</v>
      </c>
      <c r="D838" s="13" t="str">
        <f t="shared" si="61"/>
        <v>PRESTAZIONI SANITARIE DA ASST/ATS REGIONE</v>
      </c>
      <c r="E838" s="13" t="str">
        <f t="shared" si="60"/>
        <v>FONDAZIONE IRCCS  CA'  GRANDA - OSPEDALE MAGGIORE - POLICLINICO</v>
      </c>
      <c r="F838" s="13" t="s">
        <v>24</v>
      </c>
      <c r="G838" s="15">
        <v>588.86</v>
      </c>
    </row>
    <row r="839" spans="1:7" ht="22.5" x14ac:dyDescent="0.25">
      <c r="A839" s="13">
        <v>13197</v>
      </c>
      <c r="B839" s="14">
        <v>43418.461006944446</v>
      </c>
      <c r="C839" s="13" t="s">
        <v>10</v>
      </c>
      <c r="D839" s="13" t="str">
        <f>"CONSULENZE SANITARIE ASST/ATS REGIONE"</f>
        <v>CONSULENZE SANITARIE ASST/ATS REGIONE</v>
      </c>
      <c r="E839" s="13" t="str">
        <f t="shared" si="60"/>
        <v>FONDAZIONE IRCCS  CA'  GRANDA - OSPEDALE MAGGIORE - POLICLINICO</v>
      </c>
      <c r="F839" s="13" t="s">
        <v>24</v>
      </c>
      <c r="G839" s="15">
        <v>6642</v>
      </c>
    </row>
    <row r="840" spans="1:7" ht="22.5" x14ac:dyDescent="0.25">
      <c r="A840" s="13">
        <v>13198</v>
      </c>
      <c r="B840" s="14">
        <v>43418.461006944446</v>
      </c>
      <c r="C840" s="13" t="s">
        <v>10</v>
      </c>
      <c r="D840" s="13" t="str">
        <f>"PRESTAZIONI SANITARIE DA ASST/ATS REGIONE"</f>
        <v>PRESTAZIONI SANITARIE DA ASST/ATS REGIONE</v>
      </c>
      <c r="E840" s="13" t="str">
        <f t="shared" si="60"/>
        <v>FONDAZIONE IRCCS  CA'  GRANDA - OSPEDALE MAGGIORE - POLICLINICO</v>
      </c>
      <c r="F840" s="13" t="s">
        <v>24</v>
      </c>
      <c r="G840" s="15">
        <v>149.69999999999999</v>
      </c>
    </row>
    <row r="841" spans="1:7" ht="22.5" x14ac:dyDescent="0.25">
      <c r="A841" s="13">
        <v>13199</v>
      </c>
      <c r="B841" s="14">
        <v>43418.461006944446</v>
      </c>
      <c r="C841" s="13" t="s">
        <v>10</v>
      </c>
      <c r="D841" s="13" t="str">
        <f>"PRESTAZIONI SANITARIE DA ASST/ATS REGIONE"</f>
        <v>PRESTAZIONI SANITARIE DA ASST/ATS REGIONE</v>
      </c>
      <c r="E841" s="13" t="str">
        <f t="shared" si="60"/>
        <v>FONDAZIONE IRCCS  CA'  GRANDA - OSPEDALE MAGGIORE - POLICLINICO</v>
      </c>
      <c r="F841" s="13" t="s">
        <v>24</v>
      </c>
      <c r="G841" s="15">
        <v>17341</v>
      </c>
    </row>
    <row r="842" spans="1:7" ht="22.5" x14ac:dyDescent="0.25">
      <c r="A842" s="13">
        <v>13200</v>
      </c>
      <c r="B842" s="14">
        <v>43418.461006944446</v>
      </c>
      <c r="C842" s="13" t="s">
        <v>10</v>
      </c>
      <c r="D842" s="13" t="str">
        <f>"SOPRAVVENIENZE PASSIVE V/ASL-AO-IRCCS-POLICLINICI"</f>
        <v>SOPRAVVENIENZE PASSIVE V/ASL-AO-IRCCS-POLICLINICI</v>
      </c>
      <c r="E842" s="13" t="str">
        <f t="shared" si="60"/>
        <v>FONDAZIONE IRCCS  CA'  GRANDA - OSPEDALE MAGGIORE - POLICLINICO</v>
      </c>
      <c r="F842" s="13" t="s">
        <v>24</v>
      </c>
      <c r="G842" s="15">
        <v>2802</v>
      </c>
    </row>
    <row r="843" spans="1:7" ht="22.5" x14ac:dyDescent="0.25">
      <c r="A843" s="13">
        <v>13201</v>
      </c>
      <c r="B843" s="14">
        <v>43418.461006944446</v>
      </c>
      <c r="C843" s="13" t="s">
        <v>10</v>
      </c>
      <c r="D843" s="13" t="str">
        <f>"PRESTAZIONI SANITARIE DA ASST/ATS REGIONE"</f>
        <v>PRESTAZIONI SANITARIE DA ASST/ATS REGIONE</v>
      </c>
      <c r="E843" s="13" t="str">
        <f t="shared" si="60"/>
        <v>FONDAZIONE IRCCS  CA'  GRANDA - OSPEDALE MAGGIORE - POLICLINICO</v>
      </c>
      <c r="F843" s="13" t="s">
        <v>24</v>
      </c>
      <c r="G843" s="15">
        <v>82.46</v>
      </c>
    </row>
    <row r="844" spans="1:7" ht="22.5" x14ac:dyDescent="0.25">
      <c r="A844" s="13">
        <v>13202</v>
      </c>
      <c r="B844" s="14">
        <v>43418.461006944446</v>
      </c>
      <c r="C844" s="13" t="s">
        <v>10</v>
      </c>
      <c r="D844" s="13" t="str">
        <f>"PRESTAZIONI SANITARIE DA ASST/ATS REGIONE"</f>
        <v>PRESTAZIONI SANITARIE DA ASST/ATS REGIONE</v>
      </c>
      <c r="E844" s="13" t="str">
        <f t="shared" si="60"/>
        <v>FONDAZIONE IRCCS  CA'  GRANDA - OSPEDALE MAGGIORE - POLICLINICO</v>
      </c>
      <c r="F844" s="13" t="s">
        <v>24</v>
      </c>
      <c r="G844" s="15">
        <v>14472</v>
      </c>
    </row>
    <row r="845" spans="1:7" ht="22.5" x14ac:dyDescent="0.25">
      <c r="A845" s="13">
        <v>13203</v>
      </c>
      <c r="B845" s="14">
        <v>43418.461006944446</v>
      </c>
      <c r="C845" s="13" t="s">
        <v>10</v>
      </c>
      <c r="D845" s="13" t="str">
        <f>"CONSULENZE SANITARIE ASST/ATS REGIONE"</f>
        <v>CONSULENZE SANITARIE ASST/ATS REGIONE</v>
      </c>
      <c r="E845" s="13" t="str">
        <f t="shared" si="60"/>
        <v>FONDAZIONE IRCCS  CA'  GRANDA - OSPEDALE MAGGIORE - POLICLINICO</v>
      </c>
      <c r="F845" s="13" t="s">
        <v>24</v>
      </c>
      <c r="G845" s="15">
        <v>7390.8</v>
      </c>
    </row>
    <row r="846" spans="1:7" ht="22.5" x14ac:dyDescent="0.25">
      <c r="A846" s="13">
        <v>13204</v>
      </c>
      <c r="B846" s="14">
        <v>43418.461006944446</v>
      </c>
      <c r="C846" s="13" t="s">
        <v>10</v>
      </c>
      <c r="D846" s="13" t="str">
        <f>"PRESTAZIONI SANITARIE DA ASST/ATS REGIONE"</f>
        <v>PRESTAZIONI SANITARIE DA ASST/ATS REGIONE</v>
      </c>
      <c r="E846" s="13" t="str">
        <f t="shared" si="60"/>
        <v>FONDAZIONE IRCCS  CA'  GRANDA - OSPEDALE MAGGIORE - POLICLINICO</v>
      </c>
      <c r="F846" s="13" t="s">
        <v>24</v>
      </c>
      <c r="G846" s="15">
        <v>13075</v>
      </c>
    </row>
    <row r="847" spans="1:7" ht="22.5" x14ac:dyDescent="0.25">
      <c r="A847" s="13">
        <v>13205</v>
      </c>
      <c r="B847" s="14">
        <v>43418.461006944446</v>
      </c>
      <c r="C847" s="13" t="s">
        <v>10</v>
      </c>
      <c r="D847" s="13" t="str">
        <f>"PRESTAZIONI SANITARIE DA ASST/ATS REGIONE"</f>
        <v>PRESTAZIONI SANITARIE DA ASST/ATS REGIONE</v>
      </c>
      <c r="E847" s="13" t="str">
        <f t="shared" si="60"/>
        <v>FONDAZIONE IRCCS  CA'  GRANDA - OSPEDALE MAGGIORE - POLICLINICO</v>
      </c>
      <c r="F847" s="13" t="s">
        <v>24</v>
      </c>
      <c r="G847" s="15">
        <v>8734</v>
      </c>
    </row>
    <row r="848" spans="1:7" ht="22.5" x14ac:dyDescent="0.25">
      <c r="A848" s="13">
        <v>13206</v>
      </c>
      <c r="B848" s="14">
        <v>43418.461006944446</v>
      </c>
      <c r="C848" s="13" t="s">
        <v>10</v>
      </c>
      <c r="D848" s="13" t="str">
        <f>"PRESTAZIONI SANITARIE DA ASST/ATS REGIONE"</f>
        <v>PRESTAZIONI SANITARIE DA ASST/ATS REGIONE</v>
      </c>
      <c r="E848" s="13" t="str">
        <f>"FONDAZIONE IRCCS ISTITUTO NEUROLOGICO CARLO BESTA"</f>
        <v>FONDAZIONE IRCCS ISTITUTO NEUROLOGICO CARLO BESTA</v>
      </c>
      <c r="F848" s="13" t="s">
        <v>24</v>
      </c>
      <c r="G848" s="15">
        <v>1162.94</v>
      </c>
    </row>
    <row r="849" spans="1:7" ht="22.5" x14ac:dyDescent="0.25">
      <c r="A849" s="13">
        <v>13207</v>
      </c>
      <c r="B849" s="14">
        <v>43418.461006944446</v>
      </c>
      <c r="C849" s="13" t="s">
        <v>13</v>
      </c>
      <c r="D849" s="13" t="str">
        <f>"FT RIC STUDIO TECNICO LUCA LOCATELLI"</f>
        <v>FT RIC STUDIO TECNICO LUCA LOCATELLI</v>
      </c>
      <c r="E849" s="13" t="str">
        <f>"STUDIO TECNICO LUCA LOCATELLI"</f>
        <v>STUDIO TECNICO LUCA LOCATELLI</v>
      </c>
      <c r="F849" s="13" t="s">
        <v>15</v>
      </c>
      <c r="G849" s="15">
        <v>3459.2</v>
      </c>
    </row>
    <row r="850" spans="1:7" ht="33.75" x14ac:dyDescent="0.25">
      <c r="A850" s="13">
        <v>13208</v>
      </c>
      <c r="B850" s="14">
        <v>43418.461006944446</v>
      </c>
      <c r="C850" s="13" t="s">
        <v>10</v>
      </c>
      <c r="D850" s="13" t="str">
        <f>"PRESTAZIONI AMBULATORIALI DIAGNOSTICA STRUMENTALE DA PRIVATO"</f>
        <v>PRESTAZIONI AMBULATORIALI DIAGNOSTICA STRUMENTALE DA PRIVATO</v>
      </c>
      <c r="E850" s="13" t="str">
        <f>"FONDAZIONE IRCCS ISTITUTO NAZIONALE DEI TUMORI"</f>
        <v>FONDAZIONE IRCCS ISTITUTO NAZIONALE DEI TUMORI</v>
      </c>
      <c r="F850" s="13" t="str">
        <f>"ACQ.PREST.SAN.DA PRIVATI"</f>
        <v>ACQ.PREST.SAN.DA PRIVATI</v>
      </c>
      <c r="G850" s="15">
        <v>70.94</v>
      </c>
    </row>
    <row r="851" spans="1:7" ht="22.5" x14ac:dyDescent="0.25">
      <c r="A851" s="13">
        <v>13209</v>
      </c>
      <c r="B851" s="14">
        <v>43418.461006944446</v>
      </c>
      <c r="C851" s="13" t="s">
        <v>10</v>
      </c>
      <c r="D851" s="13" t="str">
        <f t="shared" ref="D851:D862" si="62">"PRESTAZIONI SANITARIE DA ASST/ATS REGIONE"</f>
        <v>PRESTAZIONI SANITARIE DA ASST/ATS REGIONE</v>
      </c>
      <c r="E851" s="13" t="str">
        <f t="shared" ref="E851:E864" si="63">"FONDAZIONE IRCCS  CA'  GRANDA - OSPEDALE MAGGIORE - POLICLINICO"</f>
        <v>FONDAZIONE IRCCS  CA'  GRANDA - OSPEDALE MAGGIORE - POLICLINICO</v>
      </c>
      <c r="F851" s="13" t="s">
        <v>34</v>
      </c>
      <c r="G851" s="15">
        <v>63.3</v>
      </c>
    </row>
    <row r="852" spans="1:7" ht="22.5" x14ac:dyDescent="0.25">
      <c r="A852" s="13">
        <v>13210</v>
      </c>
      <c r="B852" s="14">
        <v>43418.461006944446</v>
      </c>
      <c r="C852" s="13" t="s">
        <v>10</v>
      </c>
      <c r="D852" s="13" t="str">
        <f t="shared" si="62"/>
        <v>PRESTAZIONI SANITARIE DA ASST/ATS REGIONE</v>
      </c>
      <c r="E852" s="13" t="str">
        <f t="shared" si="63"/>
        <v>FONDAZIONE IRCCS  CA'  GRANDA - OSPEDALE MAGGIORE - POLICLINICO</v>
      </c>
      <c r="F852" s="13" t="s">
        <v>34</v>
      </c>
      <c r="G852" s="15">
        <v>76</v>
      </c>
    </row>
    <row r="853" spans="1:7" ht="22.5" x14ac:dyDescent="0.25">
      <c r="A853" s="13">
        <v>13211</v>
      </c>
      <c r="B853" s="14">
        <v>43418.461006944446</v>
      </c>
      <c r="C853" s="13" t="s">
        <v>10</v>
      </c>
      <c r="D853" s="13" t="str">
        <f t="shared" si="62"/>
        <v>PRESTAZIONI SANITARIE DA ASST/ATS REGIONE</v>
      </c>
      <c r="E853" s="13" t="str">
        <f t="shared" si="63"/>
        <v>FONDAZIONE IRCCS  CA'  GRANDA - OSPEDALE MAGGIORE - POLICLINICO</v>
      </c>
      <c r="F853" s="13" t="s">
        <v>34</v>
      </c>
      <c r="G853" s="15">
        <v>22.5</v>
      </c>
    </row>
    <row r="854" spans="1:7" ht="22.5" x14ac:dyDescent="0.25">
      <c r="A854" s="13">
        <v>13212</v>
      </c>
      <c r="B854" s="14">
        <v>43418.461006944446</v>
      </c>
      <c r="C854" s="13" t="s">
        <v>10</v>
      </c>
      <c r="D854" s="13" t="str">
        <f t="shared" si="62"/>
        <v>PRESTAZIONI SANITARIE DA ASST/ATS REGIONE</v>
      </c>
      <c r="E854" s="13" t="str">
        <f t="shared" si="63"/>
        <v>FONDAZIONE IRCCS  CA'  GRANDA - OSPEDALE MAGGIORE - POLICLINICO</v>
      </c>
      <c r="F854" s="13" t="s">
        <v>34</v>
      </c>
      <c r="G854" s="15">
        <v>22.5</v>
      </c>
    </row>
    <row r="855" spans="1:7" ht="22.5" x14ac:dyDescent="0.25">
      <c r="A855" s="13">
        <v>13213</v>
      </c>
      <c r="B855" s="14">
        <v>43418.461006944446</v>
      </c>
      <c r="C855" s="13" t="s">
        <v>10</v>
      </c>
      <c r="D855" s="13" t="str">
        <f t="shared" si="62"/>
        <v>PRESTAZIONI SANITARIE DA ASST/ATS REGIONE</v>
      </c>
      <c r="E855" s="13" t="str">
        <f t="shared" si="63"/>
        <v>FONDAZIONE IRCCS  CA'  GRANDA - OSPEDALE MAGGIORE - POLICLINICO</v>
      </c>
      <c r="F855" s="13" t="s">
        <v>34</v>
      </c>
      <c r="G855" s="15">
        <v>58.9</v>
      </c>
    </row>
    <row r="856" spans="1:7" ht="22.5" x14ac:dyDescent="0.25">
      <c r="A856" s="13">
        <v>13214</v>
      </c>
      <c r="B856" s="14">
        <v>43418.461006944446</v>
      </c>
      <c r="C856" s="13" t="s">
        <v>10</v>
      </c>
      <c r="D856" s="13" t="str">
        <f t="shared" si="62"/>
        <v>PRESTAZIONI SANITARIE DA ASST/ATS REGIONE</v>
      </c>
      <c r="E856" s="13" t="str">
        <f t="shared" si="63"/>
        <v>FONDAZIONE IRCCS  CA'  GRANDA - OSPEDALE MAGGIORE - POLICLINICO</v>
      </c>
      <c r="F856" s="13" t="s">
        <v>34</v>
      </c>
      <c r="G856" s="15">
        <v>22.5</v>
      </c>
    </row>
    <row r="857" spans="1:7" ht="22.5" x14ac:dyDescent="0.25">
      <c r="A857" s="13">
        <v>13215</v>
      </c>
      <c r="B857" s="14">
        <v>43418.461006944446</v>
      </c>
      <c r="C857" s="13" t="s">
        <v>10</v>
      </c>
      <c r="D857" s="13" t="str">
        <f t="shared" si="62"/>
        <v>PRESTAZIONI SANITARIE DA ASST/ATS REGIONE</v>
      </c>
      <c r="E857" s="13" t="str">
        <f t="shared" si="63"/>
        <v>FONDAZIONE IRCCS  CA'  GRANDA - OSPEDALE MAGGIORE - POLICLINICO</v>
      </c>
      <c r="F857" s="13" t="s">
        <v>34</v>
      </c>
      <c r="G857" s="15">
        <v>22.5</v>
      </c>
    </row>
    <row r="858" spans="1:7" ht="22.5" x14ac:dyDescent="0.25">
      <c r="A858" s="13">
        <v>13216</v>
      </c>
      <c r="B858" s="14">
        <v>43418.461006944446</v>
      </c>
      <c r="C858" s="13" t="s">
        <v>10</v>
      </c>
      <c r="D858" s="13" t="str">
        <f t="shared" si="62"/>
        <v>PRESTAZIONI SANITARIE DA ASST/ATS REGIONE</v>
      </c>
      <c r="E858" s="13" t="str">
        <f t="shared" si="63"/>
        <v>FONDAZIONE IRCCS  CA'  GRANDA - OSPEDALE MAGGIORE - POLICLINICO</v>
      </c>
      <c r="F858" s="13" t="s">
        <v>34</v>
      </c>
      <c r="G858" s="15">
        <v>95.2</v>
      </c>
    </row>
    <row r="859" spans="1:7" ht="22.5" x14ac:dyDescent="0.25">
      <c r="A859" s="13">
        <v>13217</v>
      </c>
      <c r="B859" s="14">
        <v>43418.461006944446</v>
      </c>
      <c r="C859" s="13" t="s">
        <v>10</v>
      </c>
      <c r="D859" s="13" t="str">
        <f t="shared" si="62"/>
        <v>PRESTAZIONI SANITARIE DA ASST/ATS REGIONE</v>
      </c>
      <c r="E859" s="13" t="str">
        <f t="shared" si="63"/>
        <v>FONDAZIONE IRCCS  CA'  GRANDA - OSPEDALE MAGGIORE - POLICLINICO</v>
      </c>
      <c r="F859" s="13" t="s">
        <v>34</v>
      </c>
      <c r="G859" s="15">
        <v>624.76</v>
      </c>
    </row>
    <row r="860" spans="1:7" ht="22.5" x14ac:dyDescent="0.25">
      <c r="A860" s="13">
        <v>13218</v>
      </c>
      <c r="B860" s="14">
        <v>43418.461006944446</v>
      </c>
      <c r="C860" s="13" t="s">
        <v>10</v>
      </c>
      <c r="D860" s="13" t="str">
        <f t="shared" si="62"/>
        <v>PRESTAZIONI SANITARIE DA ASST/ATS REGIONE</v>
      </c>
      <c r="E860" s="13" t="str">
        <f t="shared" si="63"/>
        <v>FONDAZIONE IRCCS  CA'  GRANDA - OSPEDALE MAGGIORE - POLICLINICO</v>
      </c>
      <c r="F860" s="13" t="s">
        <v>34</v>
      </c>
      <c r="G860" s="15">
        <v>29.9</v>
      </c>
    </row>
    <row r="861" spans="1:7" ht="22.5" x14ac:dyDescent="0.25">
      <c r="A861" s="13">
        <v>13219</v>
      </c>
      <c r="B861" s="14">
        <v>43418.461006944446</v>
      </c>
      <c r="C861" s="13" t="s">
        <v>10</v>
      </c>
      <c r="D861" s="13" t="str">
        <f t="shared" si="62"/>
        <v>PRESTAZIONI SANITARIE DA ASST/ATS REGIONE</v>
      </c>
      <c r="E861" s="13" t="str">
        <f t="shared" si="63"/>
        <v>FONDAZIONE IRCCS  CA'  GRANDA - OSPEDALE MAGGIORE - POLICLINICO</v>
      </c>
      <c r="F861" s="13" t="s">
        <v>34</v>
      </c>
      <c r="G861" s="15">
        <v>33.1</v>
      </c>
    </row>
    <row r="862" spans="1:7" ht="22.5" x14ac:dyDescent="0.25">
      <c r="A862" s="13">
        <v>13220</v>
      </c>
      <c r="B862" s="14">
        <v>43418.461006944446</v>
      </c>
      <c r="C862" s="13" t="s">
        <v>10</v>
      </c>
      <c r="D862" s="13" t="str">
        <f t="shared" si="62"/>
        <v>PRESTAZIONI SANITARIE DA ASST/ATS REGIONE</v>
      </c>
      <c r="E862" s="13" t="str">
        <f t="shared" si="63"/>
        <v>FONDAZIONE IRCCS  CA'  GRANDA - OSPEDALE MAGGIORE - POLICLINICO</v>
      </c>
      <c r="F862" s="13" t="s">
        <v>34</v>
      </c>
      <c r="G862" s="15">
        <v>96.29</v>
      </c>
    </row>
    <row r="863" spans="1:7" ht="22.5" x14ac:dyDescent="0.25">
      <c r="A863" s="13">
        <v>13221</v>
      </c>
      <c r="B863" s="14">
        <v>43418.461006944446</v>
      </c>
      <c r="C863" s="13" t="s">
        <v>10</v>
      </c>
      <c r="D863" s="13" t="str">
        <f>"SOPRAVVENIENZE PASSIVE V/ASL-AO-IRCCS-POLICLINICI"</f>
        <v>SOPRAVVENIENZE PASSIVE V/ASL-AO-IRCCS-POLICLINICI</v>
      </c>
      <c r="E863" s="13" t="str">
        <f t="shared" si="63"/>
        <v>FONDAZIONE IRCCS  CA'  GRANDA - OSPEDALE MAGGIORE - POLICLINICO</v>
      </c>
      <c r="F863" s="13" t="str">
        <f>"ACQ.SERV.  SANITARI"</f>
        <v>ACQ.SERV.  SANITARI</v>
      </c>
      <c r="G863" s="15">
        <v>67.239999999999995</v>
      </c>
    </row>
    <row r="864" spans="1:7" ht="22.5" x14ac:dyDescent="0.25">
      <c r="A864" s="13">
        <v>13222</v>
      </c>
      <c r="B864" s="14">
        <v>43418.461006944446</v>
      </c>
      <c r="C864" s="13" t="s">
        <v>10</v>
      </c>
      <c r="D864" s="13" t="str">
        <f>"SOPRAVVENIENZE PASSIVE V/ASL-AO-IRCCS-POLICLINICI"</f>
        <v>SOPRAVVENIENZE PASSIVE V/ASL-AO-IRCCS-POLICLINICI</v>
      </c>
      <c r="E864" s="13" t="str">
        <f t="shared" si="63"/>
        <v>FONDAZIONE IRCCS  CA'  GRANDA - OSPEDALE MAGGIORE - POLICLINICO</v>
      </c>
      <c r="F864" s="13" t="str">
        <f>"ACQ.SERV.  SANITARI"</f>
        <v>ACQ.SERV.  SANITARI</v>
      </c>
      <c r="G864" s="15">
        <v>42.44</v>
      </c>
    </row>
    <row r="865" spans="1:7" ht="22.5" x14ac:dyDescent="0.25">
      <c r="A865" s="13">
        <v>13223</v>
      </c>
      <c r="B865" s="14">
        <v>43418.461018518516</v>
      </c>
      <c r="C865" s="13" t="s">
        <v>11</v>
      </c>
      <c r="D865" s="13" t="str">
        <f>"ALTRI ONERI TRIBUTARI INDIRETTI"</f>
        <v>ALTRI ONERI TRIBUTARI INDIRETTI</v>
      </c>
      <c r="E865" s="13" t="str">
        <f>"ANAC AUTORITA' NAZIONALE ANTICORRUZIONE"</f>
        <v>ANAC AUTORITA' NAZIONALE ANTICORRUZIONE</v>
      </c>
      <c r="F865" s="13" t="str">
        <f>"Pagamento tassa CIG"</f>
        <v>Pagamento tassa CIG</v>
      </c>
      <c r="G865" s="15">
        <v>1020</v>
      </c>
    </row>
    <row r="866" spans="1:7" ht="22.5" x14ac:dyDescent="0.25">
      <c r="A866" s="13">
        <v>13224</v>
      </c>
      <c r="B866" s="14">
        <v>43418.461018518516</v>
      </c>
      <c r="C866" s="13" t="s">
        <v>10</v>
      </c>
      <c r="D866" s="13" t="str">
        <f>"CONSULENZE SANITARIE DA PRIVATO"</f>
        <v>CONSULENZE SANITARIE DA PRIVATO</v>
      </c>
      <c r="E866" s="13" t="str">
        <f>"MAKRI ELENI"</f>
        <v>MAKRI ELENI</v>
      </c>
      <c r="F866" s="13" t="str">
        <f>"CONS.CO.CO.,INTER.DA STUTT.SANIT.DA PRIV"</f>
        <v>CONS.CO.CO.,INTER.DA STUTT.SANIT.DA PRIV</v>
      </c>
      <c r="G866" s="15">
        <v>5760</v>
      </c>
    </row>
    <row r="867" spans="1:7" ht="22.5" x14ac:dyDescent="0.25">
      <c r="A867" s="13">
        <v>13225</v>
      </c>
      <c r="B867" s="14">
        <v>43418.483761574076</v>
      </c>
      <c r="C867" s="13" t="s">
        <v>10</v>
      </c>
      <c r="D867" s="13" t="str">
        <f>"SERVIZIO DI PORTIERATO"</f>
        <v>SERVIZIO DI PORTIERATO</v>
      </c>
      <c r="E867" s="13" t="str">
        <f>"IVRI SERVIZI FIDUCIARI SRL"</f>
        <v>IVRI SERVIZI FIDUCIARI SRL</v>
      </c>
      <c r="F867" s="13" t="s">
        <v>17</v>
      </c>
      <c r="G867" s="15">
        <v>21425.11</v>
      </c>
    </row>
    <row r="868" spans="1:7" ht="22.5" x14ac:dyDescent="0.25">
      <c r="A868" s="13">
        <v>13226</v>
      </c>
      <c r="B868" s="14">
        <v>43418.484166666669</v>
      </c>
      <c r="C868" s="13" t="s">
        <v>10</v>
      </c>
      <c r="D868" s="13" t="str">
        <f>"PRODOTTI FARMACEUTICI CON AIC"</f>
        <v>PRODOTTI FARMACEUTICI CON AIC</v>
      </c>
      <c r="E868" s="13" t="str">
        <f>"ASPEN PHARMA IRELAND LTD"</f>
        <v>ASPEN PHARMA IRELAND LTD</v>
      </c>
      <c r="F868" s="13" t="s">
        <v>14</v>
      </c>
      <c r="G868" s="15">
        <v>514.95000000000005</v>
      </c>
    </row>
    <row r="869" spans="1:7" ht="22.5" x14ac:dyDescent="0.25">
      <c r="A869" s="13">
        <v>13227</v>
      </c>
      <c r="B869" s="14">
        <v>43418.587476851855</v>
      </c>
      <c r="C869" s="13" t="s">
        <v>13</v>
      </c>
      <c r="D869" s="13" t="str">
        <f>"ATTREZZATURE E APPARECCHIATURE SANITARIE"</f>
        <v>ATTREZZATURE E APPARECCHIATURE SANITARIE</v>
      </c>
      <c r="E869" s="13" t="str">
        <f>"VERATHON MEDICAL EUROPE B.V."</f>
        <v>VERATHON MEDICAL EUROPE B.V.</v>
      </c>
      <c r="F869" s="13" t="s">
        <v>14</v>
      </c>
      <c r="G869" s="15">
        <v>22000</v>
      </c>
    </row>
    <row r="870" spans="1:7" ht="22.5" x14ac:dyDescent="0.25">
      <c r="A870" s="13">
        <v>13228</v>
      </c>
      <c r="B870" s="14">
        <v>43418.599305555559</v>
      </c>
      <c r="C870" s="13" t="s">
        <v>10</v>
      </c>
      <c r="D870" s="13" t="str">
        <f>"FORMAZIONE PERSONALE DA PRIVATO"</f>
        <v>FORMAZIONE PERSONALE DA PRIVATO</v>
      </c>
      <c r="E870" s="13" t="str">
        <f>"ECOSAFETY SRL"</f>
        <v>ECOSAFETY SRL</v>
      </c>
      <c r="F870" s="13" t="s">
        <v>27</v>
      </c>
      <c r="G870" s="15">
        <v>11769.5</v>
      </c>
    </row>
    <row r="871" spans="1:7" ht="22.5" x14ac:dyDescent="0.25">
      <c r="A871" s="13">
        <v>13229</v>
      </c>
      <c r="B871" s="14">
        <v>43418.603379629632</v>
      </c>
      <c r="C871" s="13" t="s">
        <v>10</v>
      </c>
      <c r="D871" s="13" t="str">
        <f>"DEPOSITI CAUZIONALI ARMADIETTO/BADGE"</f>
        <v>DEPOSITI CAUZIONALI ARMADIETTO/BADGE</v>
      </c>
      <c r="E871" s="13" t="str">
        <f>"KHARIB AICHA"</f>
        <v>KHARIB AICHA</v>
      </c>
      <c r="F871" s="13" t="str">
        <f>"Restituzione deposito cauzionale"</f>
        <v>Restituzione deposito cauzionale</v>
      </c>
      <c r="G871" s="15">
        <v>20</v>
      </c>
    </row>
    <row r="872" spans="1:7" ht="22.5" x14ac:dyDescent="0.25">
      <c r="A872" s="13">
        <v>13230</v>
      </c>
      <c r="B872" s="14">
        <v>43423.395405092589</v>
      </c>
      <c r="C872" s="13" t="s">
        <v>10</v>
      </c>
      <c r="D872" s="13" t="str">
        <f>"PRESTAZIONI INFERMIERISTICHE DA PRIVATO"</f>
        <v>PRESTAZIONI INFERMIERISTICHE DA PRIVATO</v>
      </c>
      <c r="E872" s="13" t="str">
        <f>"UNIVERSIIS - Societa Cooperativa Sociale"</f>
        <v>UNIVERSIIS - Societa Cooperativa Sociale</v>
      </c>
      <c r="F872" s="13" t="str">
        <f>"CONS.CO.CO.,INTER.DA STUTT.SANIT.DA PRIV"</f>
        <v>CONS.CO.CO.,INTER.DA STUTT.SANIT.DA PRIV</v>
      </c>
      <c r="G872" s="15">
        <v>132609.56</v>
      </c>
    </row>
    <row r="873" spans="1:7" ht="22.5" x14ac:dyDescent="0.25">
      <c r="A873" s="13">
        <v>13231</v>
      </c>
      <c r="B873" s="14">
        <v>43423.395405092589</v>
      </c>
      <c r="C873" s="13" t="s">
        <v>10</v>
      </c>
      <c r="D873" s="13" t="str">
        <f>"SERVIZIO ARCHIVIAZIONE (CUP)"</f>
        <v>SERVIZIO ARCHIVIAZIONE (CUP)</v>
      </c>
      <c r="E873" s="13" t="str">
        <f>"UNIVERSIIS - Societa Cooperativa Sociale"</f>
        <v>UNIVERSIIS - Societa Cooperativa Sociale</v>
      </c>
      <c r="F873" s="13" t="str">
        <f>"ALTRE SPESE PER SERV.NON SANITARI"</f>
        <v>ALTRE SPESE PER SERV.NON SANITARI</v>
      </c>
      <c r="G873" s="15">
        <v>9422.1</v>
      </c>
    </row>
    <row r="874" spans="1:7" ht="22.5" x14ac:dyDescent="0.25">
      <c r="A874" s="13">
        <v>13232</v>
      </c>
      <c r="B874" s="14">
        <v>43423.395416666666</v>
      </c>
      <c r="C874" s="13" t="s">
        <v>10</v>
      </c>
      <c r="D874" s="13" t="str">
        <f>"ALTRI SERVIZI"</f>
        <v>ALTRI SERVIZI</v>
      </c>
      <c r="E874" s="13" t="str">
        <f>"WINDEX SRL"</f>
        <v>WINDEX SRL</v>
      </c>
      <c r="F874" s="13" t="str">
        <f>"ALTRE SPESE PER SERV.NON SANITARI"</f>
        <v>ALTRE SPESE PER SERV.NON SANITARI</v>
      </c>
      <c r="G874" s="15">
        <v>6367</v>
      </c>
    </row>
    <row r="875" spans="1:7" ht="22.5" x14ac:dyDescent="0.25">
      <c r="A875" s="13">
        <v>13233</v>
      </c>
      <c r="B875" s="14">
        <v>43423.395416666666</v>
      </c>
      <c r="C875" s="13" t="s">
        <v>10</v>
      </c>
      <c r="D875" s="13" t="str">
        <f>"ALTRI SERVIZI"</f>
        <v>ALTRI SERVIZI</v>
      </c>
      <c r="E875" s="13" t="str">
        <f>"WINDEX SRL"</f>
        <v>WINDEX SRL</v>
      </c>
      <c r="F875" s="13" t="str">
        <f>"ALTRE SPESE PER SERV.NON SANITARI"</f>
        <v>ALTRE SPESE PER SERV.NON SANITARI</v>
      </c>
      <c r="G875" s="15">
        <v>3125</v>
      </c>
    </row>
    <row r="876" spans="1:7" ht="22.5" x14ac:dyDescent="0.25">
      <c r="A876" s="13">
        <v>13234</v>
      </c>
      <c r="B876" s="14">
        <v>43423.395416666666</v>
      </c>
      <c r="C876" s="13" t="s">
        <v>10</v>
      </c>
      <c r="D876" s="13" t="str">
        <f>"MATERIALE PROTESICO"</f>
        <v>MATERIALE PROTESICO</v>
      </c>
      <c r="E876" s="13" t="str">
        <f>"ZIMMER BIOMET ITALIA SRL"</f>
        <v>ZIMMER BIOMET ITALIA SRL</v>
      </c>
      <c r="F876" s="13" t="s">
        <v>14</v>
      </c>
      <c r="G876" s="15">
        <v>840</v>
      </c>
    </row>
    <row r="877" spans="1:7" ht="22.5" x14ac:dyDescent="0.25">
      <c r="A877" s="13">
        <v>13235</v>
      </c>
      <c r="B877" s="14">
        <v>43423.395416666666</v>
      </c>
      <c r="C877" s="13" t="s">
        <v>10</v>
      </c>
      <c r="D877" s="13" t="str">
        <f>"MATERIALE PROTESICO"</f>
        <v>MATERIALE PROTESICO</v>
      </c>
      <c r="E877" s="13" t="str">
        <f>"ZIMMER BIOMET ITALIA SRL"</f>
        <v>ZIMMER BIOMET ITALIA SRL</v>
      </c>
      <c r="F877" s="13" t="s">
        <v>14</v>
      </c>
      <c r="G877" s="15">
        <v>750</v>
      </c>
    </row>
    <row r="878" spans="1:7" ht="22.5" x14ac:dyDescent="0.25">
      <c r="A878" s="13">
        <v>13236</v>
      </c>
      <c r="B878" s="14">
        <v>43423.395416666666</v>
      </c>
      <c r="C878" s="13" t="s">
        <v>10</v>
      </c>
      <c r="D878" s="13" t="str">
        <f>"MATERIALE PROTESICO"</f>
        <v>MATERIALE PROTESICO</v>
      </c>
      <c r="E878" s="13" t="str">
        <f>"ZIMMER BIOMET ITALIA SRL"</f>
        <v>ZIMMER BIOMET ITALIA SRL</v>
      </c>
      <c r="F878" s="13" t="s">
        <v>14</v>
      </c>
      <c r="G878" s="15">
        <v>2642.96</v>
      </c>
    </row>
    <row r="879" spans="1:7" ht="22.5" x14ac:dyDescent="0.25">
      <c r="A879" s="13">
        <v>13237</v>
      </c>
      <c r="B879" s="14">
        <v>43423.395416666666</v>
      </c>
      <c r="C879" s="13" t="s">
        <v>10</v>
      </c>
      <c r="D879" s="13" t="str">
        <f>"MATERIALE PROTESICO"</f>
        <v>MATERIALE PROTESICO</v>
      </c>
      <c r="E879" s="13" t="str">
        <f>"ZIMMER BIOMET ITALIA SRL"</f>
        <v>ZIMMER BIOMET ITALIA SRL</v>
      </c>
      <c r="F879" s="13" t="s">
        <v>14</v>
      </c>
      <c r="G879" s="15">
        <v>750</v>
      </c>
    </row>
    <row r="880" spans="1:7" ht="22.5" x14ac:dyDescent="0.25">
      <c r="A880" s="13">
        <v>13238</v>
      </c>
      <c r="B880" s="14">
        <v>43423.395428240743</v>
      </c>
      <c r="C880" s="13" t="s">
        <v>10</v>
      </c>
      <c r="D880" s="13" t="str">
        <f>"FARMACI FILE F"</f>
        <v>FARMACI FILE F</v>
      </c>
      <c r="E880" s="13" t="str">
        <f>"UCB PHARMA SPA"</f>
        <v>UCB PHARMA SPA</v>
      </c>
      <c r="F880" s="13" t="s">
        <v>14</v>
      </c>
      <c r="G880" s="15">
        <v>7513.55</v>
      </c>
    </row>
    <row r="881" spans="1:7" ht="22.5" x14ac:dyDescent="0.25">
      <c r="A881" s="13">
        <v>13239</v>
      </c>
      <c r="B881" s="14">
        <v>43423.395428240743</v>
      </c>
      <c r="C881" s="13" t="s">
        <v>10</v>
      </c>
      <c r="D881" s="13" t="str">
        <f>"FARMACI FILE F"</f>
        <v>FARMACI FILE F</v>
      </c>
      <c r="E881" s="13" t="str">
        <f>"UCB PHARMA SPA"</f>
        <v>UCB PHARMA SPA</v>
      </c>
      <c r="F881" s="13" t="s">
        <v>14</v>
      </c>
      <c r="G881" s="15">
        <v>10245.75</v>
      </c>
    </row>
    <row r="882" spans="1:7" ht="22.5" x14ac:dyDescent="0.25">
      <c r="A882" s="13">
        <v>13240</v>
      </c>
      <c r="B882" s="14">
        <v>43423.395428240743</v>
      </c>
      <c r="C882" s="13" t="s">
        <v>10</v>
      </c>
      <c r="D882" s="13" t="str">
        <f t="shared" ref="D882:D889" si="64">"MATERIALE PROTESICO"</f>
        <v>MATERIALE PROTESICO</v>
      </c>
      <c r="E882" s="13" t="str">
        <f t="shared" ref="E882:E889" si="65">"ZIMMER BIOMET ITALIA SRL"</f>
        <v>ZIMMER BIOMET ITALIA SRL</v>
      </c>
      <c r="F882" s="13" t="s">
        <v>14</v>
      </c>
      <c r="G882" s="15">
        <v>509.6</v>
      </c>
    </row>
    <row r="883" spans="1:7" ht="22.5" x14ac:dyDescent="0.25">
      <c r="A883" s="13">
        <v>13241</v>
      </c>
      <c r="B883" s="14">
        <v>43423.395428240743</v>
      </c>
      <c r="C883" s="13" t="s">
        <v>10</v>
      </c>
      <c r="D883" s="13" t="str">
        <f t="shared" si="64"/>
        <v>MATERIALE PROTESICO</v>
      </c>
      <c r="E883" s="13" t="str">
        <f t="shared" si="65"/>
        <v>ZIMMER BIOMET ITALIA SRL</v>
      </c>
      <c r="F883" s="13" t="s">
        <v>14</v>
      </c>
      <c r="G883" s="15">
        <v>720</v>
      </c>
    </row>
    <row r="884" spans="1:7" ht="22.5" x14ac:dyDescent="0.25">
      <c r="A884" s="13">
        <v>13242</v>
      </c>
      <c r="B884" s="14">
        <v>43423.395428240743</v>
      </c>
      <c r="C884" s="13" t="s">
        <v>10</v>
      </c>
      <c r="D884" s="13" t="str">
        <f t="shared" si="64"/>
        <v>MATERIALE PROTESICO</v>
      </c>
      <c r="E884" s="13" t="str">
        <f t="shared" si="65"/>
        <v>ZIMMER BIOMET ITALIA SRL</v>
      </c>
      <c r="F884" s="13" t="s">
        <v>14</v>
      </c>
      <c r="G884" s="15">
        <v>460.6</v>
      </c>
    </row>
    <row r="885" spans="1:7" ht="22.5" x14ac:dyDescent="0.25">
      <c r="A885" s="13">
        <v>13243</v>
      </c>
      <c r="B885" s="14">
        <v>43423.395428240743</v>
      </c>
      <c r="C885" s="13" t="s">
        <v>10</v>
      </c>
      <c r="D885" s="13" t="str">
        <f t="shared" si="64"/>
        <v>MATERIALE PROTESICO</v>
      </c>
      <c r="E885" s="13" t="str">
        <f t="shared" si="65"/>
        <v>ZIMMER BIOMET ITALIA SRL</v>
      </c>
      <c r="F885" s="13" t="s">
        <v>14</v>
      </c>
      <c r="G885" s="15">
        <v>133.32</v>
      </c>
    </row>
    <row r="886" spans="1:7" ht="22.5" x14ac:dyDescent="0.25">
      <c r="A886" s="13">
        <v>13244</v>
      </c>
      <c r="B886" s="14">
        <v>43423.395428240743</v>
      </c>
      <c r="C886" s="13" t="s">
        <v>10</v>
      </c>
      <c r="D886" s="13" t="str">
        <f t="shared" si="64"/>
        <v>MATERIALE PROTESICO</v>
      </c>
      <c r="E886" s="13" t="str">
        <f t="shared" si="65"/>
        <v>ZIMMER BIOMET ITALIA SRL</v>
      </c>
      <c r="F886" s="13" t="s">
        <v>14</v>
      </c>
      <c r="G886" s="15">
        <v>120</v>
      </c>
    </row>
    <row r="887" spans="1:7" ht="22.5" x14ac:dyDescent="0.25">
      <c r="A887" s="13">
        <v>13245</v>
      </c>
      <c r="B887" s="14">
        <v>43423.395428240743</v>
      </c>
      <c r="C887" s="13" t="s">
        <v>10</v>
      </c>
      <c r="D887" s="13" t="str">
        <f t="shared" si="64"/>
        <v>MATERIALE PROTESICO</v>
      </c>
      <c r="E887" s="13" t="str">
        <f t="shared" si="65"/>
        <v>ZIMMER BIOMET ITALIA SRL</v>
      </c>
      <c r="F887" s="13" t="s">
        <v>14</v>
      </c>
      <c r="G887" s="15">
        <v>1500</v>
      </c>
    </row>
    <row r="888" spans="1:7" ht="22.5" x14ac:dyDescent="0.25">
      <c r="A888" s="13">
        <v>13246</v>
      </c>
      <c r="B888" s="14">
        <v>43423.395428240743</v>
      </c>
      <c r="C888" s="13" t="s">
        <v>10</v>
      </c>
      <c r="D888" s="13" t="str">
        <f t="shared" si="64"/>
        <v>MATERIALE PROTESICO</v>
      </c>
      <c r="E888" s="13" t="str">
        <f t="shared" si="65"/>
        <v>ZIMMER BIOMET ITALIA SRL</v>
      </c>
      <c r="F888" s="13" t="s">
        <v>14</v>
      </c>
      <c r="G888" s="15">
        <v>311.60000000000002</v>
      </c>
    </row>
    <row r="889" spans="1:7" ht="22.5" x14ac:dyDescent="0.25">
      <c r="A889" s="13">
        <v>13247</v>
      </c>
      <c r="B889" s="14">
        <v>43423.395428240743</v>
      </c>
      <c r="C889" s="13" t="s">
        <v>10</v>
      </c>
      <c r="D889" s="13" t="str">
        <f t="shared" si="64"/>
        <v>MATERIALE PROTESICO</v>
      </c>
      <c r="E889" s="13" t="str">
        <f t="shared" si="65"/>
        <v>ZIMMER BIOMET ITALIA SRL</v>
      </c>
      <c r="F889" s="13" t="s">
        <v>14</v>
      </c>
      <c r="G889" s="15">
        <v>460.6</v>
      </c>
    </row>
    <row r="890" spans="1:7" ht="22.5" x14ac:dyDescent="0.25">
      <c r="A890" s="13">
        <v>13248</v>
      </c>
      <c r="B890" s="14">
        <v>43423.395428240743</v>
      </c>
      <c r="C890" s="13" t="s">
        <v>10</v>
      </c>
      <c r="D890" s="13" t="str">
        <f>"OSSIGENO E GAS MEDICALI"</f>
        <v>OSSIGENO E GAS MEDICALI</v>
      </c>
      <c r="E890" s="13" t="str">
        <f>"SOL SPA"</f>
        <v>SOL SPA</v>
      </c>
      <c r="F890" s="13" t="str">
        <f>"ACQ.BENI SAN.DA ALTRE STR.SANITARIE"</f>
        <v>ACQ.BENI SAN.DA ALTRE STR.SANITARIE</v>
      </c>
      <c r="G890" s="15">
        <v>440</v>
      </c>
    </row>
    <row r="891" spans="1:7" ht="22.5" x14ac:dyDescent="0.25">
      <c r="A891" s="13">
        <v>13249</v>
      </c>
      <c r="B891" s="14">
        <v>43423.395428240743</v>
      </c>
      <c r="C891" s="13" t="s">
        <v>10</v>
      </c>
      <c r="D891" s="13" t="str">
        <f>"OSSIGENO E GAS MEDICALI"</f>
        <v>OSSIGENO E GAS MEDICALI</v>
      </c>
      <c r="E891" s="13" t="str">
        <f>"SOL SPA"</f>
        <v>SOL SPA</v>
      </c>
      <c r="F891" s="13" t="str">
        <f>"ACQ.BENI SAN.DA ALTRE STR.SANITARIE"</f>
        <v>ACQ.BENI SAN.DA ALTRE STR.SANITARIE</v>
      </c>
      <c r="G891" s="15">
        <v>1188</v>
      </c>
    </row>
    <row r="892" spans="1:7" ht="22.5" x14ac:dyDescent="0.25">
      <c r="A892" s="13">
        <v>13250</v>
      </c>
      <c r="B892" s="14">
        <v>43423.395428240743</v>
      </c>
      <c r="C892" s="13" t="s">
        <v>10</v>
      </c>
      <c r="D892" s="13" t="str">
        <f>"OSSIGENO E GAS MEDICALI"</f>
        <v>OSSIGENO E GAS MEDICALI</v>
      </c>
      <c r="E892" s="13" t="str">
        <f>"SOL SPA"</f>
        <v>SOL SPA</v>
      </c>
      <c r="F892" s="13" t="str">
        <f>"ACQ.BENI SAN.DA ALTRE STR.SANITARIE"</f>
        <v>ACQ.BENI SAN.DA ALTRE STR.SANITARIE</v>
      </c>
      <c r="G892" s="15">
        <v>1245.69</v>
      </c>
    </row>
    <row r="893" spans="1:7" ht="22.5" x14ac:dyDescent="0.25">
      <c r="A893" s="13">
        <v>13251</v>
      </c>
      <c r="B893" s="14">
        <v>43423.395428240743</v>
      </c>
      <c r="C893" s="13" t="s">
        <v>10</v>
      </c>
      <c r="D893" s="13" t="str">
        <f>"OSSIGENO E GAS MEDICALI"</f>
        <v>OSSIGENO E GAS MEDICALI</v>
      </c>
      <c r="E893" s="13" t="str">
        <f>"SOL SPA"</f>
        <v>SOL SPA</v>
      </c>
      <c r="F893" s="13" t="str">
        <f>"ACQ.BENI SAN.DA ALTRE STR.SANITARIE"</f>
        <v>ACQ.BENI SAN.DA ALTRE STR.SANITARIE</v>
      </c>
      <c r="G893" s="15">
        <v>3960</v>
      </c>
    </row>
    <row r="894" spans="1:7" ht="22.5" x14ac:dyDescent="0.25">
      <c r="A894" s="13">
        <v>13252</v>
      </c>
      <c r="B894" s="14">
        <v>43423.395428240743</v>
      </c>
      <c r="C894" s="13" t="s">
        <v>10</v>
      </c>
      <c r="D894" s="13" t="str">
        <f>"PRODOTTI CHIMICI: MATERIALI DIAGNOSTICI (SENZA CND)"</f>
        <v>PRODOTTI CHIMICI: MATERIALI DIAGNOSTICI (SENZA CND)</v>
      </c>
      <c r="E894" s="13" t="str">
        <f>"STEELCO SPA"</f>
        <v>STEELCO SPA</v>
      </c>
      <c r="F894" s="13" t="s">
        <v>14</v>
      </c>
      <c r="G894" s="15">
        <v>2480</v>
      </c>
    </row>
    <row r="895" spans="1:7" ht="22.5" x14ac:dyDescent="0.25">
      <c r="A895" s="13">
        <v>13253</v>
      </c>
      <c r="B895" s="14">
        <v>43423.395428240743</v>
      </c>
      <c r="C895" s="13" t="s">
        <v>10</v>
      </c>
      <c r="D895" s="13" t="str">
        <f>"STRUMENTARIO CHIRURGICO (K, L)"</f>
        <v>STRUMENTARIO CHIRURGICO (K, L)</v>
      </c>
      <c r="E895" s="13" t="str">
        <f>"ZIMMER BIOMET ITALIA SRL"</f>
        <v>ZIMMER BIOMET ITALIA SRL</v>
      </c>
      <c r="F895" s="13" t="s">
        <v>15</v>
      </c>
      <c r="G895" s="15">
        <v>60</v>
      </c>
    </row>
    <row r="896" spans="1:7" ht="22.5" x14ac:dyDescent="0.25">
      <c r="A896" s="13">
        <v>13254</v>
      </c>
      <c r="B896" s="14">
        <v>43423.395428240743</v>
      </c>
      <c r="C896" s="13" t="s">
        <v>10</v>
      </c>
      <c r="D896" s="13" t="str">
        <f>"STRUMENTARIO CHIRURGICO (K, L)"</f>
        <v>STRUMENTARIO CHIRURGICO (K, L)</v>
      </c>
      <c r="E896" s="13" t="str">
        <f>"ZIMMER BIOMET ITALIA SRL"</f>
        <v>ZIMMER BIOMET ITALIA SRL</v>
      </c>
      <c r="F896" s="13" t="s">
        <v>15</v>
      </c>
      <c r="G896" s="15">
        <v>60</v>
      </c>
    </row>
    <row r="897" spans="1:7" ht="22.5" x14ac:dyDescent="0.25">
      <c r="A897" s="13">
        <v>13255</v>
      </c>
      <c r="B897" s="14">
        <v>43423.395439814813</v>
      </c>
      <c r="C897" s="13" t="s">
        <v>10</v>
      </c>
      <c r="D897" s="13" t="str">
        <f>"ALTRI SERVIZI"</f>
        <v>ALTRI SERVIZI</v>
      </c>
      <c r="E897" s="13" t="str">
        <f>"NPO SISTEMI SRL"</f>
        <v>NPO SISTEMI SRL</v>
      </c>
      <c r="F897" s="13" t="str">
        <f>"ALTRE SPESE PER SERV.NON SANITARI"</f>
        <v>ALTRE SPESE PER SERV.NON SANITARI</v>
      </c>
      <c r="G897" s="15">
        <v>6041.67</v>
      </c>
    </row>
    <row r="898" spans="1:7" ht="22.5" x14ac:dyDescent="0.25">
      <c r="A898" s="13">
        <v>13256</v>
      </c>
      <c r="B898" s="14">
        <v>43423.395439814813</v>
      </c>
      <c r="C898" s="13" t="s">
        <v>10</v>
      </c>
      <c r="D898" s="13" t="str">
        <f t="shared" ref="D898:D908" si="66">"FARMACI FILE F"</f>
        <v>FARMACI FILE F</v>
      </c>
      <c r="E898" s="13" t="str">
        <f>"ABBVIE SRL a Socio Unico"</f>
        <v>ABBVIE SRL a Socio Unico</v>
      </c>
      <c r="F898" s="13" t="s">
        <v>14</v>
      </c>
      <c r="G898" s="15">
        <v>62686.8</v>
      </c>
    </row>
    <row r="899" spans="1:7" ht="22.5" x14ac:dyDescent="0.25">
      <c r="A899" s="13">
        <v>13257</v>
      </c>
      <c r="B899" s="14">
        <v>43423.395439814813</v>
      </c>
      <c r="C899" s="13" t="s">
        <v>10</v>
      </c>
      <c r="D899" s="13" t="str">
        <f t="shared" si="66"/>
        <v>FARMACI FILE F</v>
      </c>
      <c r="E899" s="13" t="str">
        <f>"ABBVIE SRL a Socio Unico"</f>
        <v>ABBVIE SRL a Socio Unico</v>
      </c>
      <c r="F899" s="13" t="s">
        <v>14</v>
      </c>
      <c r="G899" s="15">
        <v>41791.199999999997</v>
      </c>
    </row>
    <row r="900" spans="1:7" ht="22.5" x14ac:dyDescent="0.25">
      <c r="A900" s="13">
        <v>13258</v>
      </c>
      <c r="B900" s="14">
        <v>43423.395439814813</v>
      </c>
      <c r="C900" s="13" t="s">
        <v>10</v>
      </c>
      <c r="D900" s="13" t="str">
        <f t="shared" si="66"/>
        <v>FARMACI FILE F</v>
      </c>
      <c r="E900" s="13" t="str">
        <f>"ABBVIE SRL a Socio Unico"</f>
        <v>ABBVIE SRL a Socio Unico</v>
      </c>
      <c r="F900" s="13" t="s">
        <v>14</v>
      </c>
      <c r="G900" s="15">
        <v>10357.16</v>
      </c>
    </row>
    <row r="901" spans="1:7" ht="22.5" x14ac:dyDescent="0.25">
      <c r="A901" s="13">
        <v>13259</v>
      </c>
      <c r="B901" s="14">
        <v>43423.395439814813</v>
      </c>
      <c r="C901" s="13" t="s">
        <v>10</v>
      </c>
      <c r="D901" s="13" t="str">
        <f t="shared" si="66"/>
        <v>FARMACI FILE F</v>
      </c>
      <c r="E901" s="13" t="str">
        <f>"ACTELION PHARMACEUTICALS ITALIA SRL  Societa Unipersonale"</f>
        <v>ACTELION PHARMACEUTICALS ITALIA SRL  Societa Unipersonale</v>
      </c>
      <c r="F901" s="13" t="s">
        <v>14</v>
      </c>
      <c r="G901" s="15">
        <v>14352.12</v>
      </c>
    </row>
    <row r="902" spans="1:7" ht="22.5" x14ac:dyDescent="0.25">
      <c r="A902" s="13">
        <v>13260</v>
      </c>
      <c r="B902" s="14">
        <v>43423.395439814813</v>
      </c>
      <c r="C902" s="13" t="s">
        <v>10</v>
      </c>
      <c r="D902" s="13" t="str">
        <f t="shared" si="66"/>
        <v>FARMACI FILE F</v>
      </c>
      <c r="E902" s="13" t="str">
        <f>"ACTELION PHARMACEUTICALS ITALIA SRL  Societa Unipersonale"</f>
        <v>ACTELION PHARMACEUTICALS ITALIA SRL  Societa Unipersonale</v>
      </c>
      <c r="F902" s="13" t="s">
        <v>14</v>
      </c>
      <c r="G902" s="15">
        <v>959.73</v>
      </c>
    </row>
    <row r="903" spans="1:7" ht="22.5" x14ac:dyDescent="0.25">
      <c r="A903" s="13">
        <v>13261</v>
      </c>
      <c r="B903" s="14">
        <v>43423.395439814813</v>
      </c>
      <c r="C903" s="13" t="s">
        <v>10</v>
      </c>
      <c r="D903" s="13" t="str">
        <f t="shared" si="66"/>
        <v>FARMACI FILE F</v>
      </c>
      <c r="E903" s="13" t="str">
        <f>"ACTELION PHARMACEUTICALS ITALIA SRL  Societa Unipersonale"</f>
        <v>ACTELION PHARMACEUTICALS ITALIA SRL  Societa Unipersonale</v>
      </c>
      <c r="F903" s="13" t="s">
        <v>14</v>
      </c>
      <c r="G903" s="15">
        <v>319.91000000000003</v>
      </c>
    </row>
    <row r="904" spans="1:7" ht="22.5" x14ac:dyDescent="0.25">
      <c r="A904" s="13">
        <v>13262</v>
      </c>
      <c r="B904" s="14">
        <v>43423.395439814813</v>
      </c>
      <c r="C904" s="13" t="s">
        <v>10</v>
      </c>
      <c r="D904" s="13" t="str">
        <f t="shared" si="66"/>
        <v>FARMACI FILE F</v>
      </c>
      <c r="E904" s="13" t="str">
        <f>"MSD ITALIA SRL"</f>
        <v>MSD ITALIA SRL</v>
      </c>
      <c r="F904" s="13" t="s">
        <v>14</v>
      </c>
      <c r="G904" s="15">
        <v>21967.919999999998</v>
      </c>
    </row>
    <row r="905" spans="1:7" ht="22.5" x14ac:dyDescent="0.25">
      <c r="A905" s="13">
        <v>13263</v>
      </c>
      <c r="B905" s="14">
        <v>43423.395439814813</v>
      </c>
      <c r="C905" s="13" t="s">
        <v>10</v>
      </c>
      <c r="D905" s="13" t="str">
        <f t="shared" si="66"/>
        <v>FARMACI FILE F</v>
      </c>
      <c r="E905" s="13" t="str">
        <f>"MSD ITALIA SRL"</f>
        <v>MSD ITALIA SRL</v>
      </c>
      <c r="F905" s="13" t="s">
        <v>14</v>
      </c>
      <c r="G905" s="15">
        <v>40801.29</v>
      </c>
    </row>
    <row r="906" spans="1:7" ht="22.5" x14ac:dyDescent="0.25">
      <c r="A906" s="13">
        <v>13264</v>
      </c>
      <c r="B906" s="14">
        <v>43423.395439814813</v>
      </c>
      <c r="C906" s="13" t="s">
        <v>10</v>
      </c>
      <c r="D906" s="13" t="str">
        <f t="shared" si="66"/>
        <v>FARMACI FILE F</v>
      </c>
      <c r="E906" s="13" t="str">
        <f>"NOVARTIS FARMA SPA con Socio Unico"</f>
        <v>NOVARTIS FARMA SPA con Socio Unico</v>
      </c>
      <c r="F906" s="13" t="s">
        <v>14</v>
      </c>
      <c r="G906" s="15">
        <v>8673.5</v>
      </c>
    </row>
    <row r="907" spans="1:7" ht="22.5" x14ac:dyDescent="0.25">
      <c r="A907" s="13">
        <v>13265</v>
      </c>
      <c r="B907" s="14">
        <v>43423.395439814813</v>
      </c>
      <c r="C907" s="13" t="s">
        <v>10</v>
      </c>
      <c r="D907" s="13" t="str">
        <f t="shared" si="66"/>
        <v>FARMACI FILE F</v>
      </c>
      <c r="E907" s="13" t="str">
        <f>"PFIZER SRL"</f>
        <v>PFIZER SRL</v>
      </c>
      <c r="F907" s="13" t="s">
        <v>14</v>
      </c>
      <c r="G907" s="15">
        <v>29424</v>
      </c>
    </row>
    <row r="908" spans="1:7" ht="22.5" x14ac:dyDescent="0.25">
      <c r="A908" s="13">
        <v>13266</v>
      </c>
      <c r="B908" s="14">
        <v>43423.395439814813</v>
      </c>
      <c r="C908" s="13" t="s">
        <v>10</v>
      </c>
      <c r="D908" s="13" t="str">
        <f t="shared" si="66"/>
        <v>FARMACI FILE F</v>
      </c>
      <c r="E908" s="13" t="str">
        <f>"ROCHE SPA Societa Unipersonale"</f>
        <v>ROCHE SPA Societa Unipersonale</v>
      </c>
      <c r="F908" s="13" t="s">
        <v>14</v>
      </c>
      <c r="G908" s="15">
        <v>7995.2</v>
      </c>
    </row>
    <row r="909" spans="1:7" ht="33.75" x14ac:dyDescent="0.25">
      <c r="A909" s="13">
        <v>13267</v>
      </c>
      <c r="B909" s="14">
        <v>43423.395439814813</v>
      </c>
      <c r="C909" s="13" t="s">
        <v>10</v>
      </c>
      <c r="D909" s="13" t="str">
        <f>"PRESIDI MEDICO-CHIRURGICI GENERICI E AUSILI TECNICI PER DISABILI M"</f>
        <v>PRESIDI MEDICO-CHIRURGICI GENERICI E AUSILI TECNICI PER DISABILI M</v>
      </c>
      <c r="E909" s="13" t="str">
        <f>"MONDOMED ITALIA SRL"</f>
        <v>MONDOMED ITALIA SRL</v>
      </c>
      <c r="F909" s="13" t="s">
        <v>14</v>
      </c>
      <c r="G909" s="15">
        <v>7419</v>
      </c>
    </row>
    <row r="910" spans="1:7" ht="33.75" x14ac:dyDescent="0.25">
      <c r="A910" s="13">
        <v>13268</v>
      </c>
      <c r="B910" s="14">
        <v>43423.395439814813</v>
      </c>
      <c r="C910" s="13" t="s">
        <v>10</v>
      </c>
      <c r="D910" s="13" t="str">
        <f>"PRESIDI MEDICO-CHIRURGICI GENERICI E AUSILI TECNICI PER DISABILI T"</f>
        <v>PRESIDI MEDICO-CHIRURGICI GENERICI E AUSILI TECNICI PER DISABILI T</v>
      </c>
      <c r="E910" s="13" t="str">
        <f>"MOLNLYCKE HEALTH CARE SRL a Socio Unico"</f>
        <v>MOLNLYCKE HEALTH CARE SRL a Socio Unico</v>
      </c>
      <c r="F910" s="13" t="s">
        <v>14</v>
      </c>
      <c r="G910" s="15">
        <v>6636</v>
      </c>
    </row>
    <row r="911" spans="1:7" ht="22.5" x14ac:dyDescent="0.25">
      <c r="A911" s="13">
        <v>13269</v>
      </c>
      <c r="B911" s="14">
        <v>43423.395439814813</v>
      </c>
      <c r="C911" s="13" t="s">
        <v>10</v>
      </c>
      <c r="D911" s="13" t="str">
        <f>"PRODOTTI CHIMICI: MATERIALI DIAGNOSTICI (SENZA CND)"</f>
        <v>PRODOTTI CHIMICI: MATERIALI DIAGNOSTICI (SENZA CND)</v>
      </c>
      <c r="E911" s="13" t="str">
        <f>"PHSE SRL"</f>
        <v>PHSE SRL</v>
      </c>
      <c r="F911" s="13" t="s">
        <v>14</v>
      </c>
      <c r="G911" s="15">
        <v>100</v>
      </c>
    </row>
    <row r="912" spans="1:7" ht="22.5" x14ac:dyDescent="0.25">
      <c r="A912" s="13">
        <v>13270</v>
      </c>
      <c r="B912" s="14">
        <v>43423.395439814813</v>
      </c>
      <c r="C912" s="13" t="s">
        <v>10</v>
      </c>
      <c r="D912" s="13" t="str">
        <f>"PRODOTTI FARMACEUTICI CON AIC"</f>
        <v>PRODOTTI FARMACEUTICI CON AIC</v>
      </c>
      <c r="E912" s="13" t="str">
        <f>"ABIOGEN PHARMA SPA"</f>
        <v>ABIOGEN PHARMA SPA</v>
      </c>
      <c r="F912" s="13" t="s">
        <v>14</v>
      </c>
      <c r="G912" s="15">
        <v>2968.95</v>
      </c>
    </row>
    <row r="913" spans="1:7" ht="22.5" x14ac:dyDescent="0.25">
      <c r="A913" s="13">
        <v>13271</v>
      </c>
      <c r="B913" s="14">
        <v>43423.395439814813</v>
      </c>
      <c r="C913" s="13" t="s">
        <v>10</v>
      </c>
      <c r="D913" s="13" t="str">
        <f>"PRODOTTI FARMACEUTICI CON AIC"</f>
        <v>PRODOTTI FARMACEUTICI CON AIC</v>
      </c>
      <c r="E913" s="13" t="str">
        <f>"MSD ITALIA SRL"</f>
        <v>MSD ITALIA SRL</v>
      </c>
      <c r="F913" s="13" t="s">
        <v>14</v>
      </c>
      <c r="G913" s="15">
        <v>24098.58</v>
      </c>
    </row>
    <row r="914" spans="1:7" ht="22.5" x14ac:dyDescent="0.25">
      <c r="A914" s="13">
        <v>13272</v>
      </c>
      <c r="B914" s="14">
        <v>43423.395439814813</v>
      </c>
      <c r="C914" s="13" t="s">
        <v>10</v>
      </c>
      <c r="D914" s="13" t="str">
        <f>"SERVIZIO CUCINA GORLA"</f>
        <v>SERVIZIO CUCINA GORLA</v>
      </c>
      <c r="E914" s="13" t="str">
        <f>"SERIST SRL"</f>
        <v>SERIST SRL</v>
      </c>
      <c r="F914" s="13" t="s">
        <v>29</v>
      </c>
      <c r="G914" s="15">
        <v>17439.48</v>
      </c>
    </row>
    <row r="915" spans="1:7" ht="22.5" x14ac:dyDescent="0.25">
      <c r="A915" s="13">
        <v>13273</v>
      </c>
      <c r="B915" s="14">
        <v>43423.395439814813</v>
      </c>
      <c r="C915" s="13" t="s">
        <v>10</v>
      </c>
      <c r="D915" s="13" t="str">
        <f>"SERVIZIO CUCINA GORLA"</f>
        <v>SERVIZIO CUCINA GORLA</v>
      </c>
      <c r="E915" s="13" t="str">
        <f>"SERIST SRL"</f>
        <v>SERIST SRL</v>
      </c>
      <c r="F915" s="13" t="s">
        <v>29</v>
      </c>
      <c r="G915" s="15">
        <v>402.57</v>
      </c>
    </row>
    <row r="916" spans="1:7" ht="22.5" x14ac:dyDescent="0.25">
      <c r="A916" s="13">
        <v>13274</v>
      </c>
      <c r="B916" s="14">
        <v>43423.395439814813</v>
      </c>
      <c r="C916" s="13" t="s">
        <v>10</v>
      </c>
      <c r="D916" s="13" t="str">
        <f>"STRUMENTARIO CHIRURGICO (K, L)"</f>
        <v>STRUMENTARIO CHIRURGICO (K, L)</v>
      </c>
      <c r="E916" s="13" t="str">
        <f>"ARTHREX ITALIA SRL"</f>
        <v>ARTHREX ITALIA SRL</v>
      </c>
      <c r="F916" s="13" t="s">
        <v>14</v>
      </c>
      <c r="G916" s="15">
        <v>397.8</v>
      </c>
    </row>
    <row r="917" spans="1:7" ht="22.5" x14ac:dyDescent="0.25">
      <c r="A917" s="13">
        <v>13275</v>
      </c>
      <c r="B917" s="14">
        <v>43423.395451388889</v>
      </c>
      <c r="C917" s="13" t="s">
        <v>10</v>
      </c>
      <c r="D917" s="13" t="str">
        <f>"MATERIALE PROTESICO"</f>
        <v>MATERIALE PROTESICO</v>
      </c>
      <c r="E917" s="13" t="str">
        <f>"ARTHREX ITALIA SRL"</f>
        <v>ARTHREX ITALIA SRL</v>
      </c>
      <c r="F917" s="13" t="s">
        <v>14</v>
      </c>
      <c r="G917" s="15">
        <v>7500</v>
      </c>
    </row>
    <row r="918" spans="1:7" ht="22.5" x14ac:dyDescent="0.25">
      <c r="A918" s="13">
        <v>13276</v>
      </c>
      <c r="B918" s="14">
        <v>43423.395451388889</v>
      </c>
      <c r="C918" s="13" t="s">
        <v>10</v>
      </c>
      <c r="D918" s="13" t="str">
        <f>"MATERIALE PROTESICO"</f>
        <v>MATERIALE PROTESICO</v>
      </c>
      <c r="E918" s="13" t="str">
        <f>"ARTHREX ITALIA SRL"</f>
        <v>ARTHREX ITALIA SRL</v>
      </c>
      <c r="F918" s="13" t="s">
        <v>14</v>
      </c>
      <c r="G918" s="15">
        <v>2500</v>
      </c>
    </row>
    <row r="919" spans="1:7" ht="33.75" x14ac:dyDescent="0.25">
      <c r="A919" s="13">
        <v>13277</v>
      </c>
      <c r="B919" s="14">
        <v>43423.395451388889</v>
      </c>
      <c r="C919" s="13" t="s">
        <v>10</v>
      </c>
      <c r="D919" s="13" t="str">
        <f>"PRESIDI MEDICO-CHIRURGICI GENERICI E AUSILI TECNICI PER DISABILI H"</f>
        <v>PRESIDI MEDICO-CHIRURGICI GENERICI E AUSILI TECNICI PER DISABILI H</v>
      </c>
      <c r="E919" s="13" t="str">
        <f>"B. BRAUN MILANO SPA a Socio Unico"</f>
        <v>B. BRAUN MILANO SPA a Socio Unico</v>
      </c>
      <c r="F919" s="13" t="s">
        <v>14</v>
      </c>
      <c r="G919" s="15">
        <v>362.4</v>
      </c>
    </row>
    <row r="920" spans="1:7" ht="33.75" x14ac:dyDescent="0.25">
      <c r="A920" s="13">
        <v>13278</v>
      </c>
      <c r="B920" s="14">
        <v>43423.395451388889</v>
      </c>
      <c r="C920" s="13" t="s">
        <v>10</v>
      </c>
      <c r="D920" s="13" t="str">
        <f>"PRESIDI MEDICO-CHIRURGICI GENERICI E AUSILI TECNICI PER DISABILI H"</f>
        <v>PRESIDI MEDICO-CHIRURGICI GENERICI E AUSILI TECNICI PER DISABILI H</v>
      </c>
      <c r="E920" s="13" t="str">
        <f>"B. BRAUN MILANO SPA a Socio Unico"</f>
        <v>B. BRAUN MILANO SPA a Socio Unico</v>
      </c>
      <c r="F920" s="13" t="s">
        <v>14</v>
      </c>
      <c r="G920" s="15">
        <v>6377.4</v>
      </c>
    </row>
    <row r="921" spans="1:7" ht="33.75" x14ac:dyDescent="0.25">
      <c r="A921" s="13">
        <v>13279</v>
      </c>
      <c r="B921" s="14">
        <v>43423.395451388889</v>
      </c>
      <c r="C921" s="13" t="s">
        <v>10</v>
      </c>
      <c r="D921" s="13" t="str">
        <f>"PRESIDI MEDICO-CHIRURGICI GENERICI E AUSILI TECNICI PER DISABILI H"</f>
        <v>PRESIDI MEDICO-CHIRURGICI GENERICI E AUSILI TECNICI PER DISABILI H</v>
      </c>
      <c r="E921" s="13" t="str">
        <f>"B. BRAUN MILANO SPA a Socio Unico"</f>
        <v>B. BRAUN MILANO SPA a Socio Unico</v>
      </c>
      <c r="F921" s="13" t="s">
        <v>14</v>
      </c>
      <c r="G921" s="15">
        <v>484.7</v>
      </c>
    </row>
    <row r="922" spans="1:7" ht="33.75" x14ac:dyDescent="0.25">
      <c r="A922" s="13">
        <v>13280</v>
      </c>
      <c r="B922" s="14">
        <v>43423.395451388889</v>
      </c>
      <c r="C922" s="13" t="s">
        <v>10</v>
      </c>
      <c r="D922" s="13" t="str">
        <f>"PRESIDI MEDICO-CHIRURGICI GENERICI E AUSILI TECNICI PER DISABILI M"</f>
        <v>PRESIDI MEDICO-CHIRURGICI GENERICI E AUSILI TECNICI PER DISABILI M</v>
      </c>
      <c r="E922" s="13" t="str">
        <f>"B. BRAUN MILANO SPA a Socio Unico"</f>
        <v>B. BRAUN MILANO SPA a Socio Unico</v>
      </c>
      <c r="F922" s="13" t="s">
        <v>14</v>
      </c>
      <c r="G922" s="15">
        <v>719</v>
      </c>
    </row>
    <row r="923" spans="1:7" ht="22.5" x14ac:dyDescent="0.25">
      <c r="A923" s="13">
        <v>13281</v>
      </c>
      <c r="B923" s="14">
        <v>43423.395451388889</v>
      </c>
      <c r="C923" s="13" t="s">
        <v>10</v>
      </c>
      <c r="D923" s="13" t="str">
        <f>"PRODOTTI FARMACEUTICI CON AIC"</f>
        <v>PRODOTTI FARMACEUTICI CON AIC</v>
      </c>
      <c r="E923" s="13" t="str">
        <f>"B. BRAUN MILANO SPA a Socio Unico"</f>
        <v>B. BRAUN MILANO SPA a Socio Unico</v>
      </c>
      <c r="F923" s="13" t="s">
        <v>14</v>
      </c>
      <c r="G923" s="15">
        <v>24.8</v>
      </c>
    </row>
    <row r="924" spans="1:7" ht="22.5" x14ac:dyDescent="0.25">
      <c r="A924" s="13">
        <v>13282</v>
      </c>
      <c r="B924" s="14">
        <v>43423.395451388889</v>
      </c>
      <c r="C924" s="13" t="s">
        <v>10</v>
      </c>
      <c r="D924" s="13" t="str">
        <f>"STRUMENTARIO CHIRURGICO (K, L)"</f>
        <v>STRUMENTARIO CHIRURGICO (K, L)</v>
      </c>
      <c r="E924" s="13" t="str">
        <f>"ARTHREX ITALIA SRL"</f>
        <v>ARTHREX ITALIA SRL</v>
      </c>
      <c r="F924" s="13" t="s">
        <v>14</v>
      </c>
      <c r="G924" s="15">
        <v>1275</v>
      </c>
    </row>
    <row r="925" spans="1:7" ht="22.5" x14ac:dyDescent="0.25">
      <c r="A925" s="13">
        <v>13283</v>
      </c>
      <c r="B925" s="14">
        <v>43423.395451388889</v>
      </c>
      <c r="C925" s="13" t="s">
        <v>10</v>
      </c>
      <c r="D925" s="13" t="str">
        <f>"STRUMENTARIO CHIRURGICO (K, L)"</f>
        <v>STRUMENTARIO CHIRURGICO (K, L)</v>
      </c>
      <c r="E925" s="13" t="str">
        <f>"ARTHREX ITALIA SRL"</f>
        <v>ARTHREX ITALIA SRL</v>
      </c>
      <c r="F925" s="13" t="s">
        <v>14</v>
      </c>
      <c r="G925" s="15">
        <v>875</v>
      </c>
    </row>
    <row r="926" spans="1:7" ht="22.5" x14ac:dyDescent="0.25">
      <c r="A926" s="13">
        <v>13284</v>
      </c>
      <c r="B926" s="14">
        <v>43423.395451388889</v>
      </c>
      <c r="C926" s="13" t="s">
        <v>10</v>
      </c>
      <c r="D926" s="13" t="str">
        <f>"STRUMENTARIO CHIRURGICO (K, L)"</f>
        <v>STRUMENTARIO CHIRURGICO (K, L)</v>
      </c>
      <c r="E926" s="13" t="str">
        <f>"ARTHREX ITALIA SRL"</f>
        <v>ARTHREX ITALIA SRL</v>
      </c>
      <c r="F926" s="13" t="s">
        <v>14</v>
      </c>
      <c r="G926" s="15">
        <v>872.64</v>
      </c>
    </row>
    <row r="927" spans="1:7" ht="22.5" x14ac:dyDescent="0.25">
      <c r="A927" s="13">
        <v>13285</v>
      </c>
      <c r="B927" s="14">
        <v>43423.575046296297</v>
      </c>
      <c r="C927" s="13" t="s">
        <v>10</v>
      </c>
      <c r="D927" s="13" t="str">
        <f>"ALTRI SERVIZI"</f>
        <v>ALTRI SERVIZI</v>
      </c>
      <c r="E927" s="13" t="str">
        <f>"FASTWEB SPA a Socio Unico"</f>
        <v>FASTWEB SPA a Socio Unico</v>
      </c>
      <c r="F927" s="13" t="str">
        <f>"ALTRE SPESE PER SERV.NON SANITARI"</f>
        <v>ALTRE SPESE PER SERV.NON SANITARI</v>
      </c>
      <c r="G927" s="15">
        <v>11016.66</v>
      </c>
    </row>
    <row r="928" spans="1:7" ht="22.5" x14ac:dyDescent="0.25">
      <c r="A928" s="13">
        <v>13286</v>
      </c>
      <c r="B928" s="14">
        <v>43423.575046296297</v>
      </c>
      <c r="C928" s="13" t="s">
        <v>10</v>
      </c>
      <c r="D928" s="13" t="str">
        <f>"ALTRI SERVIZI"</f>
        <v>ALTRI SERVIZI</v>
      </c>
      <c r="E928" s="13" t="str">
        <f>"FASTWEB SPA a Socio Unico"</f>
        <v>FASTWEB SPA a Socio Unico</v>
      </c>
      <c r="F928" s="13" t="str">
        <f>"ALTRE SPESE PER SERV.NON SANITARI"</f>
        <v>ALTRE SPESE PER SERV.NON SANITARI</v>
      </c>
      <c r="G928" s="15">
        <v>11016.66</v>
      </c>
    </row>
    <row r="929" spans="1:7" ht="22.5" x14ac:dyDescent="0.25">
      <c r="A929" s="13">
        <v>13287</v>
      </c>
      <c r="B929" s="14">
        <v>43423.575046296297</v>
      </c>
      <c r="C929" s="13" t="s">
        <v>10</v>
      </c>
      <c r="D929" s="13" t="str">
        <f>"DEPOSITI CAUZIONALI ARMADIETTO/BADGE"</f>
        <v>DEPOSITI CAUZIONALI ARMADIETTO/BADGE</v>
      </c>
      <c r="E929" s="13" t="str">
        <f>"BURATTI FABIO"</f>
        <v>BURATTI FABIO</v>
      </c>
      <c r="F929" s="13" t="str">
        <f>"Restituzione deposito cauzionale"</f>
        <v>Restituzione deposito cauzionale</v>
      </c>
      <c r="G929" s="15">
        <v>20</v>
      </c>
    </row>
    <row r="930" spans="1:7" ht="22.5" x14ac:dyDescent="0.25">
      <c r="A930" s="13">
        <v>13288</v>
      </c>
      <c r="B930" s="14">
        <v>43423.575046296297</v>
      </c>
      <c r="C930" s="13" t="s">
        <v>10</v>
      </c>
      <c r="D930" s="13" t="str">
        <f>"DEPOSITI CAUZIONALI CONVITTO"</f>
        <v>DEPOSITI CAUZIONALI CONVITTO</v>
      </c>
      <c r="E930" s="13" t="str">
        <f>"GENNARO PARIDE"</f>
        <v>GENNARO PARIDE</v>
      </c>
      <c r="F930" s="13" t="str">
        <f>"Restituzione deposito cauzionale"</f>
        <v>Restituzione deposito cauzionale</v>
      </c>
      <c r="G930" s="15">
        <v>150</v>
      </c>
    </row>
    <row r="931" spans="1:7" ht="22.5" x14ac:dyDescent="0.25">
      <c r="A931" s="13">
        <v>13289</v>
      </c>
      <c r="B931" s="14">
        <v>43423.575057870374</v>
      </c>
      <c r="C931" s="13" t="s">
        <v>10</v>
      </c>
      <c r="D931" s="13" t="str">
        <f>"CASSA BANCA INTESA SPA PINI"</f>
        <v>CASSA BANCA INTESA SPA PINI</v>
      </c>
      <c r="E931" s="13" t="str">
        <f>"RIZZI GIULIANO"</f>
        <v>RIZZI GIULIANO</v>
      </c>
      <c r="F931" s="13" t="str">
        <f>"ALTRE SPESE PER SERV.NON SANITARI"</f>
        <v>ALTRE SPESE PER SERV.NON SANITARI</v>
      </c>
      <c r="G931" s="15">
        <v>51</v>
      </c>
    </row>
    <row r="932" spans="1:7" ht="22.5" x14ac:dyDescent="0.25">
      <c r="A932" s="13">
        <v>13290</v>
      </c>
      <c r="B932" s="14">
        <v>43423.575057870374</v>
      </c>
      <c r="C932" s="13" t="s">
        <v>10</v>
      </c>
      <c r="D932" s="13" t="str">
        <f t="shared" ref="D932:D937" si="67">"DEPOSITI CAUZIONALI ARMADIETTO/BADGE"</f>
        <v>DEPOSITI CAUZIONALI ARMADIETTO/BADGE</v>
      </c>
      <c r="E932" s="13" t="str">
        <f>"CUTRUPI ALEXANDER"</f>
        <v>CUTRUPI ALEXANDER</v>
      </c>
      <c r="F932" s="13" t="str">
        <f t="shared" ref="F932:F937" si="68">"Restituzione deposito cauzionale"</f>
        <v>Restituzione deposito cauzionale</v>
      </c>
      <c r="G932" s="15">
        <v>90</v>
      </c>
    </row>
    <row r="933" spans="1:7" ht="22.5" x14ac:dyDescent="0.25">
      <c r="A933" s="13">
        <v>13291</v>
      </c>
      <c r="B933" s="14">
        <v>43423.575057870374</v>
      </c>
      <c r="C933" s="13" t="s">
        <v>10</v>
      </c>
      <c r="D933" s="13" t="str">
        <f t="shared" si="67"/>
        <v>DEPOSITI CAUZIONALI ARMADIETTO/BADGE</v>
      </c>
      <c r="E933" s="13" t="str">
        <f>"SANTARSIERO GIANVITO"</f>
        <v>SANTARSIERO GIANVITO</v>
      </c>
      <c r="F933" s="13" t="str">
        <f t="shared" si="68"/>
        <v>Restituzione deposito cauzionale</v>
      </c>
      <c r="G933" s="15">
        <v>90</v>
      </c>
    </row>
    <row r="934" spans="1:7" ht="22.5" x14ac:dyDescent="0.25">
      <c r="A934" s="13">
        <v>13292</v>
      </c>
      <c r="B934" s="14">
        <v>43423.575057870374</v>
      </c>
      <c r="C934" s="13" t="s">
        <v>10</v>
      </c>
      <c r="D934" s="13" t="str">
        <f t="shared" si="67"/>
        <v>DEPOSITI CAUZIONALI ARMADIETTO/BADGE</v>
      </c>
      <c r="E934" s="13" t="str">
        <f>"STOPPANI CARLO ALBERTO"</f>
        <v>STOPPANI CARLO ALBERTO</v>
      </c>
      <c r="F934" s="13" t="str">
        <f t="shared" si="68"/>
        <v>Restituzione deposito cauzionale</v>
      </c>
      <c r="G934" s="15">
        <v>90</v>
      </c>
    </row>
    <row r="935" spans="1:7" ht="22.5" x14ac:dyDescent="0.25">
      <c r="A935" s="13">
        <v>13293</v>
      </c>
      <c r="B935" s="14">
        <v>43423.575057870374</v>
      </c>
      <c r="C935" s="13" t="s">
        <v>10</v>
      </c>
      <c r="D935" s="13" t="str">
        <f t="shared" si="67"/>
        <v>DEPOSITI CAUZIONALI ARMADIETTO/BADGE</v>
      </c>
      <c r="E935" s="13" t="str">
        <f>"SUARDI VIRGINIA"</f>
        <v>SUARDI VIRGINIA</v>
      </c>
      <c r="F935" s="13" t="str">
        <f t="shared" si="68"/>
        <v>Restituzione deposito cauzionale</v>
      </c>
      <c r="G935" s="15">
        <v>90</v>
      </c>
    </row>
    <row r="936" spans="1:7" ht="22.5" x14ac:dyDescent="0.25">
      <c r="A936" s="13">
        <v>13294</v>
      </c>
      <c r="B936" s="14">
        <v>43423.575057870374</v>
      </c>
      <c r="C936" s="13" t="s">
        <v>10</v>
      </c>
      <c r="D936" s="13" t="str">
        <f t="shared" si="67"/>
        <v>DEPOSITI CAUZIONALI ARMADIETTO/BADGE</v>
      </c>
      <c r="E936" s="13" t="str">
        <f>"SUSINI FRANCESCA"</f>
        <v>SUSINI FRANCESCA</v>
      </c>
      <c r="F936" s="13" t="str">
        <f t="shared" si="68"/>
        <v>Restituzione deposito cauzionale</v>
      </c>
      <c r="G936" s="15">
        <v>90</v>
      </c>
    </row>
    <row r="937" spans="1:7" ht="22.5" x14ac:dyDescent="0.25">
      <c r="A937" s="13">
        <v>13295</v>
      </c>
      <c r="B937" s="14">
        <v>43423.575057870374</v>
      </c>
      <c r="C937" s="13" t="s">
        <v>10</v>
      </c>
      <c r="D937" s="13" t="str">
        <f t="shared" si="67"/>
        <v>DEPOSITI CAUZIONALI ARMADIETTO/BADGE</v>
      </c>
      <c r="E937" s="13" t="str">
        <f>"ZANELLO MATTEO"</f>
        <v>ZANELLO MATTEO</v>
      </c>
      <c r="F937" s="13" t="str">
        <f t="shared" si="68"/>
        <v>Restituzione deposito cauzionale</v>
      </c>
      <c r="G937" s="15">
        <v>20</v>
      </c>
    </row>
    <row r="938" spans="1:7" ht="22.5" x14ac:dyDescent="0.25">
      <c r="A938" s="13">
        <v>13296</v>
      </c>
      <c r="B938" s="14">
        <v>43423.608680555553</v>
      </c>
      <c r="C938" s="13" t="s">
        <v>10</v>
      </c>
      <c r="D938" s="13" t="str">
        <f t="shared" ref="D938:D943" si="69">"FARMACI FILE F"</f>
        <v>FARMACI FILE F</v>
      </c>
      <c r="E938" s="13" t="str">
        <f>"BRISTOL - MYERS SQUIBB SRL Societa Unipersonale"</f>
        <v>BRISTOL - MYERS SQUIBB SRL Societa Unipersonale</v>
      </c>
      <c r="F938" s="13" t="s">
        <v>14</v>
      </c>
      <c r="G938" s="15">
        <v>23959.8</v>
      </c>
    </row>
    <row r="939" spans="1:7" ht="22.5" x14ac:dyDescent="0.25">
      <c r="A939" s="13">
        <v>13297</v>
      </c>
      <c r="B939" s="14">
        <v>43423.608680555553</v>
      </c>
      <c r="C939" s="13" t="s">
        <v>10</v>
      </c>
      <c r="D939" s="13" t="str">
        <f t="shared" si="69"/>
        <v>FARMACI FILE F</v>
      </c>
      <c r="E939" s="13" t="str">
        <f>"BRISTOL - MYERS SQUIBB SRL Societa Unipersonale"</f>
        <v>BRISTOL - MYERS SQUIBB SRL Societa Unipersonale</v>
      </c>
      <c r="F939" s="13" t="s">
        <v>14</v>
      </c>
      <c r="G939" s="15">
        <v>-6899.28</v>
      </c>
    </row>
    <row r="940" spans="1:7" ht="22.5" x14ac:dyDescent="0.25">
      <c r="A940" s="13">
        <v>13298</v>
      </c>
      <c r="B940" s="14">
        <v>43423.608680555553</v>
      </c>
      <c r="C940" s="13" t="s">
        <v>10</v>
      </c>
      <c r="D940" s="13" t="str">
        <f t="shared" si="69"/>
        <v>FARMACI FILE F</v>
      </c>
      <c r="E940" s="13" t="str">
        <f>"BRISTOL - MYERS SQUIBB SRL Societa Unipersonale"</f>
        <v>BRISTOL - MYERS SQUIBB SRL Societa Unipersonale</v>
      </c>
      <c r="F940" s="13" t="s">
        <v>14</v>
      </c>
      <c r="G940" s="15">
        <v>-958.8</v>
      </c>
    </row>
    <row r="941" spans="1:7" ht="22.5" x14ac:dyDescent="0.25">
      <c r="A941" s="13">
        <v>13299</v>
      </c>
      <c r="B941" s="14">
        <v>43423.608680555553</v>
      </c>
      <c r="C941" s="13" t="s">
        <v>10</v>
      </c>
      <c r="D941" s="13" t="str">
        <f t="shared" si="69"/>
        <v>FARMACI FILE F</v>
      </c>
      <c r="E941" s="13" t="str">
        <f>"BRISTOL - MYERS SQUIBB SRL Societa Unipersonale"</f>
        <v>BRISTOL - MYERS SQUIBB SRL Societa Unipersonale</v>
      </c>
      <c r="F941" s="13" t="s">
        <v>14</v>
      </c>
      <c r="G941" s="15">
        <v>20510.16</v>
      </c>
    </row>
    <row r="942" spans="1:7" ht="22.5" x14ac:dyDescent="0.25">
      <c r="A942" s="13">
        <v>13300</v>
      </c>
      <c r="B942" s="14">
        <v>43423.608680555553</v>
      </c>
      <c r="C942" s="13" t="s">
        <v>10</v>
      </c>
      <c r="D942" s="13" t="str">
        <f t="shared" si="69"/>
        <v>FARMACI FILE F</v>
      </c>
      <c r="E942" s="13" t="str">
        <f>"ELI LILLY ITALIA SPA"</f>
        <v>ELI LILLY ITALIA SPA</v>
      </c>
      <c r="F942" s="13" t="s">
        <v>14</v>
      </c>
      <c r="G942" s="15">
        <v>10035.200000000001</v>
      </c>
    </row>
    <row r="943" spans="1:7" ht="22.5" x14ac:dyDescent="0.25">
      <c r="A943" s="13">
        <v>13301</v>
      </c>
      <c r="B943" s="14">
        <v>43423.608680555553</v>
      </c>
      <c r="C943" s="13" t="s">
        <v>10</v>
      </c>
      <c r="D943" s="13" t="str">
        <f t="shared" si="69"/>
        <v>FARMACI FILE F</v>
      </c>
      <c r="E943" s="13" t="str">
        <f>"ELI LILLY ITALIA SPA"</f>
        <v>ELI LILLY ITALIA SPA</v>
      </c>
      <c r="F943" s="13" t="s">
        <v>14</v>
      </c>
      <c r="G943" s="15">
        <v>6272</v>
      </c>
    </row>
    <row r="944" spans="1:7" ht="22.5" x14ac:dyDescent="0.25">
      <c r="A944" s="13">
        <v>13302</v>
      </c>
      <c r="B944" s="14">
        <v>43423.608680555553</v>
      </c>
      <c r="C944" s="13" t="s">
        <v>11</v>
      </c>
      <c r="D944" s="13" t="str">
        <f>"MANUTENZIONE SOFTWARE"</f>
        <v>MANUTENZIONE SOFTWARE</v>
      </c>
      <c r="E944" s="13" t="str">
        <f>"ENGINEERING INGEGNERIA INFORMATICA SPA"</f>
        <v>ENGINEERING INGEGNERIA INFORMATICA SPA</v>
      </c>
      <c r="F944" s="13" t="s">
        <v>22</v>
      </c>
      <c r="G944" s="15">
        <v>76910</v>
      </c>
    </row>
    <row r="945" spans="1:7" ht="22.5" x14ac:dyDescent="0.25">
      <c r="A945" s="13">
        <v>13303</v>
      </c>
      <c r="B945" s="14">
        <v>43423.608680555553</v>
      </c>
      <c r="C945" s="13" t="s">
        <v>10</v>
      </c>
      <c r="D945" s="13" t="str">
        <f>"MATERIALE PROTESICO"</f>
        <v>MATERIALE PROTESICO</v>
      </c>
      <c r="E945" s="13" t="str">
        <f>"EPISCAN SRL"</f>
        <v>EPISCAN SRL</v>
      </c>
      <c r="F945" s="13" t="s">
        <v>14</v>
      </c>
      <c r="G945" s="15">
        <v>104.44</v>
      </c>
    </row>
    <row r="946" spans="1:7" ht="22.5" x14ac:dyDescent="0.25">
      <c r="A946" s="13">
        <v>13304</v>
      </c>
      <c r="B946" s="14">
        <v>43423.608680555553</v>
      </c>
      <c r="C946" s="13" t="s">
        <v>10</v>
      </c>
      <c r="D946" s="13" t="str">
        <f>"MATERIALE PROTESICO"</f>
        <v>MATERIALE PROTESICO</v>
      </c>
      <c r="E946" s="13" t="str">
        <f>"EPISCAN SRL"</f>
        <v>EPISCAN SRL</v>
      </c>
      <c r="F946" s="13" t="s">
        <v>14</v>
      </c>
      <c r="G946" s="15">
        <v>40.5</v>
      </c>
    </row>
    <row r="947" spans="1:7" ht="22.5" x14ac:dyDescent="0.25">
      <c r="A947" s="13">
        <v>13305</v>
      </c>
      <c r="B947" s="14">
        <v>43423.608680555553</v>
      </c>
      <c r="C947" s="13" t="s">
        <v>10</v>
      </c>
      <c r="D947" s="13" t="str">
        <f>"SERVIZIO DI PORTIERATO"</f>
        <v>SERVIZIO DI PORTIERATO</v>
      </c>
      <c r="E947" s="13" t="str">
        <f>"IVRI SERVIZI FIDUCIARI SRL"</f>
        <v>IVRI SERVIZI FIDUCIARI SRL</v>
      </c>
      <c r="F947" s="13" t="s">
        <v>14</v>
      </c>
      <c r="G947" s="15">
        <v>21480.13</v>
      </c>
    </row>
    <row r="948" spans="1:7" ht="22.5" x14ac:dyDescent="0.25">
      <c r="A948" s="13">
        <v>13306</v>
      </c>
      <c r="B948" s="14">
        <v>43423.608680555553</v>
      </c>
      <c r="C948" s="13" t="s">
        <v>10</v>
      </c>
      <c r="D948" s="13" t="str">
        <f>"SERVIZIO DI PORTIERATO"</f>
        <v>SERVIZIO DI PORTIERATO</v>
      </c>
      <c r="E948" s="13" t="str">
        <f>"IVRI SERVIZI FIDUCIARI SRL"</f>
        <v>IVRI SERVIZI FIDUCIARI SRL</v>
      </c>
      <c r="F948" s="13" t="s">
        <v>14</v>
      </c>
      <c r="G948" s="15">
        <v>21149.06</v>
      </c>
    </row>
    <row r="949" spans="1:7" ht="22.5" x14ac:dyDescent="0.25">
      <c r="A949" s="13">
        <v>13307</v>
      </c>
      <c r="B949" s="14">
        <v>43424.42627314815</v>
      </c>
      <c r="C949" s="13" t="s">
        <v>10</v>
      </c>
      <c r="D949" s="13" t="str">
        <f>"MATERIALE PROTESICO"</f>
        <v>MATERIALE PROTESICO</v>
      </c>
      <c r="E949" s="13" t="str">
        <f>"ZIMMER BIOMET ITALIA SRL"</f>
        <v>ZIMMER BIOMET ITALIA SRL</v>
      </c>
      <c r="F949" s="13" t="s">
        <v>15</v>
      </c>
      <c r="G949" s="15">
        <v>150</v>
      </c>
    </row>
    <row r="950" spans="1:7" ht="22.5" x14ac:dyDescent="0.25">
      <c r="A950" s="13">
        <v>13308</v>
      </c>
      <c r="B950" s="14">
        <v>43424.426342592589</v>
      </c>
      <c r="C950" s="13" t="s">
        <v>10</v>
      </c>
      <c r="D950" s="13" t="str">
        <f>"STRUMENTARIO CHIRURGICO (K, L)"</f>
        <v>STRUMENTARIO CHIRURGICO (K, L)</v>
      </c>
      <c r="E950" s="13" t="str">
        <f>"ARTHREX ITALIA SRL"</f>
        <v>ARTHREX ITALIA SRL</v>
      </c>
      <c r="F950" s="13" t="s">
        <v>15</v>
      </c>
      <c r="G950" s="15">
        <v>308</v>
      </c>
    </row>
    <row r="951" spans="1:7" ht="22.5" x14ac:dyDescent="0.25">
      <c r="A951" s="13">
        <v>13309</v>
      </c>
      <c r="B951" s="14">
        <v>43424.482256944444</v>
      </c>
      <c r="C951" s="13" t="s">
        <v>10</v>
      </c>
      <c r="D951" s="13" t="str">
        <f t="shared" ref="D951:D965" si="70">"MATERIALE PROTESICO"</f>
        <v>MATERIALE PROTESICO</v>
      </c>
      <c r="E951" s="13" t="str">
        <f t="shared" ref="E951:E1014" si="71">"JOHNSON &amp; JOHNSON MEDICAL SPA"</f>
        <v>JOHNSON &amp; JOHNSON MEDICAL SPA</v>
      </c>
      <c r="F951" s="13" t="s">
        <v>14</v>
      </c>
      <c r="G951" s="15">
        <v>2212.46</v>
      </c>
    </row>
    <row r="952" spans="1:7" ht="22.5" x14ac:dyDescent="0.25">
      <c r="A952" s="13">
        <v>13310</v>
      </c>
      <c r="B952" s="14">
        <v>43424.482256944444</v>
      </c>
      <c r="C952" s="13" t="s">
        <v>10</v>
      </c>
      <c r="D952" s="13" t="str">
        <f t="shared" si="70"/>
        <v>MATERIALE PROTESICO</v>
      </c>
      <c r="E952" s="13" t="str">
        <f t="shared" si="71"/>
        <v>JOHNSON &amp; JOHNSON MEDICAL SPA</v>
      </c>
      <c r="F952" s="13" t="s">
        <v>14</v>
      </c>
      <c r="G952" s="15">
        <v>120.25</v>
      </c>
    </row>
    <row r="953" spans="1:7" ht="22.5" x14ac:dyDescent="0.25">
      <c r="A953" s="13">
        <v>13311</v>
      </c>
      <c r="B953" s="14">
        <v>43424.482256944444</v>
      </c>
      <c r="C953" s="13" t="s">
        <v>10</v>
      </c>
      <c r="D953" s="13" t="str">
        <f t="shared" si="70"/>
        <v>MATERIALE PROTESICO</v>
      </c>
      <c r="E953" s="13" t="str">
        <f t="shared" si="71"/>
        <v>JOHNSON &amp; JOHNSON MEDICAL SPA</v>
      </c>
      <c r="F953" s="13" t="s">
        <v>14</v>
      </c>
      <c r="G953" s="15">
        <v>288</v>
      </c>
    </row>
    <row r="954" spans="1:7" ht="22.5" x14ac:dyDescent="0.25">
      <c r="A954" s="13">
        <v>13312</v>
      </c>
      <c r="B954" s="14">
        <v>43424.482268518521</v>
      </c>
      <c r="C954" s="13" t="s">
        <v>10</v>
      </c>
      <c r="D954" s="13" t="str">
        <f t="shared" si="70"/>
        <v>MATERIALE PROTESICO</v>
      </c>
      <c r="E954" s="13" t="str">
        <f t="shared" si="71"/>
        <v>JOHNSON &amp; JOHNSON MEDICAL SPA</v>
      </c>
      <c r="F954" s="13" t="s">
        <v>14</v>
      </c>
      <c r="G954" s="15">
        <v>610.91</v>
      </c>
    </row>
    <row r="955" spans="1:7" ht="22.5" x14ac:dyDescent="0.25">
      <c r="A955" s="13">
        <v>13313</v>
      </c>
      <c r="B955" s="14">
        <v>43424.482268518521</v>
      </c>
      <c r="C955" s="13" t="s">
        <v>10</v>
      </c>
      <c r="D955" s="13" t="str">
        <f t="shared" si="70"/>
        <v>MATERIALE PROTESICO</v>
      </c>
      <c r="E955" s="13" t="str">
        <f t="shared" si="71"/>
        <v>JOHNSON &amp; JOHNSON MEDICAL SPA</v>
      </c>
      <c r="F955" s="13" t="s">
        <v>14</v>
      </c>
      <c r="G955" s="15">
        <v>746.48</v>
      </c>
    </row>
    <row r="956" spans="1:7" ht="22.5" x14ac:dyDescent="0.25">
      <c r="A956" s="13">
        <v>13314</v>
      </c>
      <c r="B956" s="14">
        <v>43424.482268518521</v>
      </c>
      <c r="C956" s="13" t="s">
        <v>10</v>
      </c>
      <c r="D956" s="13" t="str">
        <f t="shared" si="70"/>
        <v>MATERIALE PROTESICO</v>
      </c>
      <c r="E956" s="13" t="str">
        <f t="shared" si="71"/>
        <v>JOHNSON &amp; JOHNSON MEDICAL SPA</v>
      </c>
      <c r="F956" s="13" t="s">
        <v>14</v>
      </c>
      <c r="G956" s="15">
        <v>4.25</v>
      </c>
    </row>
    <row r="957" spans="1:7" ht="22.5" x14ac:dyDescent="0.25">
      <c r="A957" s="13">
        <v>13315</v>
      </c>
      <c r="B957" s="14">
        <v>43424.482268518521</v>
      </c>
      <c r="C957" s="13" t="s">
        <v>10</v>
      </c>
      <c r="D957" s="13" t="str">
        <f t="shared" si="70"/>
        <v>MATERIALE PROTESICO</v>
      </c>
      <c r="E957" s="13" t="str">
        <f t="shared" si="71"/>
        <v>JOHNSON &amp; JOHNSON MEDICAL SPA</v>
      </c>
      <c r="F957" s="13" t="s">
        <v>14</v>
      </c>
      <c r="G957" s="15">
        <v>531.34</v>
      </c>
    </row>
    <row r="958" spans="1:7" ht="22.5" x14ac:dyDescent="0.25">
      <c r="A958" s="13">
        <v>13316</v>
      </c>
      <c r="B958" s="14">
        <v>43424.482268518521</v>
      </c>
      <c r="C958" s="13" t="s">
        <v>10</v>
      </c>
      <c r="D958" s="13" t="str">
        <f t="shared" si="70"/>
        <v>MATERIALE PROTESICO</v>
      </c>
      <c r="E958" s="13" t="str">
        <f t="shared" si="71"/>
        <v>JOHNSON &amp; JOHNSON MEDICAL SPA</v>
      </c>
      <c r="F958" s="13" t="s">
        <v>14</v>
      </c>
      <c r="G958" s="15">
        <v>372.96</v>
      </c>
    </row>
    <row r="959" spans="1:7" ht="22.5" x14ac:dyDescent="0.25">
      <c r="A959" s="13">
        <v>13317</v>
      </c>
      <c r="B959" s="14">
        <v>43424.482268518521</v>
      </c>
      <c r="C959" s="13" t="s">
        <v>10</v>
      </c>
      <c r="D959" s="13" t="str">
        <f t="shared" si="70"/>
        <v>MATERIALE PROTESICO</v>
      </c>
      <c r="E959" s="13" t="str">
        <f t="shared" si="71"/>
        <v>JOHNSON &amp; JOHNSON MEDICAL SPA</v>
      </c>
      <c r="F959" s="13" t="s">
        <v>14</v>
      </c>
      <c r="G959" s="15">
        <v>2558.87</v>
      </c>
    </row>
    <row r="960" spans="1:7" ht="22.5" x14ac:dyDescent="0.25">
      <c r="A960" s="13">
        <v>13318</v>
      </c>
      <c r="B960" s="14">
        <v>43424.482268518521</v>
      </c>
      <c r="C960" s="13" t="s">
        <v>10</v>
      </c>
      <c r="D960" s="13" t="str">
        <f t="shared" si="70"/>
        <v>MATERIALE PROTESICO</v>
      </c>
      <c r="E960" s="13" t="str">
        <f t="shared" si="71"/>
        <v>JOHNSON &amp; JOHNSON MEDICAL SPA</v>
      </c>
      <c r="F960" s="13" t="s">
        <v>14</v>
      </c>
      <c r="G960" s="15">
        <v>448.56</v>
      </c>
    </row>
    <row r="961" spans="1:7" ht="22.5" x14ac:dyDescent="0.25">
      <c r="A961" s="13">
        <v>13319</v>
      </c>
      <c r="B961" s="14">
        <v>43424.482268518521</v>
      </c>
      <c r="C961" s="13" t="s">
        <v>10</v>
      </c>
      <c r="D961" s="13" t="str">
        <f t="shared" si="70"/>
        <v>MATERIALE PROTESICO</v>
      </c>
      <c r="E961" s="13" t="str">
        <f t="shared" si="71"/>
        <v>JOHNSON &amp; JOHNSON MEDICAL SPA</v>
      </c>
      <c r="F961" s="13" t="s">
        <v>14</v>
      </c>
      <c r="G961" s="15">
        <v>266.79000000000002</v>
      </c>
    </row>
    <row r="962" spans="1:7" ht="22.5" x14ac:dyDescent="0.25">
      <c r="A962" s="13">
        <v>13320</v>
      </c>
      <c r="B962" s="14">
        <v>43424.482268518521</v>
      </c>
      <c r="C962" s="13" t="s">
        <v>10</v>
      </c>
      <c r="D962" s="13" t="str">
        <f t="shared" si="70"/>
        <v>MATERIALE PROTESICO</v>
      </c>
      <c r="E962" s="13" t="str">
        <f t="shared" si="71"/>
        <v>JOHNSON &amp; JOHNSON MEDICAL SPA</v>
      </c>
      <c r="F962" s="13" t="s">
        <v>14</v>
      </c>
      <c r="G962" s="15">
        <v>22.32</v>
      </c>
    </row>
    <row r="963" spans="1:7" ht="22.5" x14ac:dyDescent="0.25">
      <c r="A963" s="13">
        <v>13321</v>
      </c>
      <c r="B963" s="14">
        <v>43424.482268518521</v>
      </c>
      <c r="C963" s="13" t="s">
        <v>10</v>
      </c>
      <c r="D963" s="13" t="str">
        <f t="shared" si="70"/>
        <v>MATERIALE PROTESICO</v>
      </c>
      <c r="E963" s="13" t="str">
        <f t="shared" si="71"/>
        <v>JOHNSON &amp; JOHNSON MEDICAL SPA</v>
      </c>
      <c r="F963" s="13" t="s">
        <v>14</v>
      </c>
      <c r="G963" s="15">
        <v>1488</v>
      </c>
    </row>
    <row r="964" spans="1:7" ht="22.5" x14ac:dyDescent="0.25">
      <c r="A964" s="13">
        <v>13322</v>
      </c>
      <c r="B964" s="14">
        <v>43424.482268518521</v>
      </c>
      <c r="C964" s="13" t="s">
        <v>10</v>
      </c>
      <c r="D964" s="13" t="str">
        <f t="shared" si="70"/>
        <v>MATERIALE PROTESICO</v>
      </c>
      <c r="E964" s="13" t="str">
        <f t="shared" si="71"/>
        <v>JOHNSON &amp; JOHNSON MEDICAL SPA</v>
      </c>
      <c r="F964" s="13" t="s">
        <v>14</v>
      </c>
      <c r="G964" s="15">
        <v>1118.1600000000001</v>
      </c>
    </row>
    <row r="965" spans="1:7" ht="22.5" x14ac:dyDescent="0.25">
      <c r="A965" s="13">
        <v>13323</v>
      </c>
      <c r="B965" s="14">
        <v>43424.482268518521</v>
      </c>
      <c r="C965" s="13" t="s">
        <v>10</v>
      </c>
      <c r="D965" s="13" t="str">
        <f t="shared" si="70"/>
        <v>MATERIALE PROTESICO</v>
      </c>
      <c r="E965" s="13" t="str">
        <f t="shared" si="71"/>
        <v>JOHNSON &amp; JOHNSON MEDICAL SPA</v>
      </c>
      <c r="F965" s="13" t="s">
        <v>14</v>
      </c>
      <c r="G965" s="15">
        <v>50.4</v>
      </c>
    </row>
    <row r="966" spans="1:7" ht="22.5" x14ac:dyDescent="0.25">
      <c r="A966" s="13">
        <v>13324</v>
      </c>
      <c r="B966" s="14">
        <v>43424.482268518521</v>
      </c>
      <c r="C966" s="13" t="s">
        <v>10</v>
      </c>
      <c r="D966" s="13" t="str">
        <f>"STRUMENTARIO CHIRURGICO (K, L)"</f>
        <v>STRUMENTARIO CHIRURGICO (K, L)</v>
      </c>
      <c r="E966" s="13" t="str">
        <f t="shared" si="71"/>
        <v>JOHNSON &amp; JOHNSON MEDICAL SPA</v>
      </c>
      <c r="F966" s="13" t="s">
        <v>14</v>
      </c>
      <c r="G966" s="15">
        <v>149.04</v>
      </c>
    </row>
    <row r="967" spans="1:7" ht="22.5" x14ac:dyDescent="0.25">
      <c r="A967" s="13">
        <v>13325</v>
      </c>
      <c r="B967" s="14">
        <v>43424.48228009259</v>
      </c>
      <c r="C967" s="13" t="s">
        <v>10</v>
      </c>
      <c r="D967" s="13" t="str">
        <f t="shared" ref="D967:D994" si="72">"MATERIALE PROTESICO"</f>
        <v>MATERIALE PROTESICO</v>
      </c>
      <c r="E967" s="13" t="str">
        <f t="shared" si="71"/>
        <v>JOHNSON &amp; JOHNSON MEDICAL SPA</v>
      </c>
      <c r="F967" s="13" t="s">
        <v>14</v>
      </c>
      <c r="G967" s="15">
        <v>137.52000000000001</v>
      </c>
    </row>
    <row r="968" spans="1:7" ht="22.5" x14ac:dyDescent="0.25">
      <c r="A968" s="13">
        <v>13326</v>
      </c>
      <c r="B968" s="14">
        <v>43424.48228009259</v>
      </c>
      <c r="C968" s="13" t="s">
        <v>10</v>
      </c>
      <c r="D968" s="13" t="str">
        <f t="shared" si="72"/>
        <v>MATERIALE PROTESICO</v>
      </c>
      <c r="E968" s="13" t="str">
        <f t="shared" si="71"/>
        <v>JOHNSON &amp; JOHNSON MEDICAL SPA</v>
      </c>
      <c r="F968" s="13" t="s">
        <v>14</v>
      </c>
      <c r="G968" s="15">
        <v>20.88</v>
      </c>
    </row>
    <row r="969" spans="1:7" ht="22.5" x14ac:dyDescent="0.25">
      <c r="A969" s="13">
        <v>13327</v>
      </c>
      <c r="B969" s="14">
        <v>43424.48228009259</v>
      </c>
      <c r="C969" s="13" t="s">
        <v>10</v>
      </c>
      <c r="D969" s="13" t="str">
        <f t="shared" si="72"/>
        <v>MATERIALE PROTESICO</v>
      </c>
      <c r="E969" s="13" t="str">
        <f t="shared" si="71"/>
        <v>JOHNSON &amp; JOHNSON MEDICAL SPA</v>
      </c>
      <c r="F969" s="13" t="s">
        <v>14</v>
      </c>
      <c r="G969" s="15">
        <v>8.5</v>
      </c>
    </row>
    <row r="970" spans="1:7" ht="22.5" x14ac:dyDescent="0.25">
      <c r="A970" s="13">
        <v>13328</v>
      </c>
      <c r="B970" s="14">
        <v>43424.48228009259</v>
      </c>
      <c r="C970" s="13" t="s">
        <v>10</v>
      </c>
      <c r="D970" s="13" t="str">
        <f t="shared" si="72"/>
        <v>MATERIALE PROTESICO</v>
      </c>
      <c r="E970" s="13" t="str">
        <f t="shared" si="71"/>
        <v>JOHNSON &amp; JOHNSON MEDICAL SPA</v>
      </c>
      <c r="F970" s="13" t="s">
        <v>14</v>
      </c>
      <c r="G970" s="15">
        <v>531.34</v>
      </c>
    </row>
    <row r="971" spans="1:7" ht="22.5" x14ac:dyDescent="0.25">
      <c r="A971" s="13">
        <v>13329</v>
      </c>
      <c r="B971" s="14">
        <v>43424.48228009259</v>
      </c>
      <c r="C971" s="13" t="s">
        <v>10</v>
      </c>
      <c r="D971" s="13" t="str">
        <f t="shared" si="72"/>
        <v>MATERIALE PROTESICO</v>
      </c>
      <c r="E971" s="13" t="str">
        <f t="shared" si="71"/>
        <v>JOHNSON &amp; JOHNSON MEDICAL SPA</v>
      </c>
      <c r="F971" s="13" t="s">
        <v>14</v>
      </c>
      <c r="G971" s="15">
        <v>347.76</v>
      </c>
    </row>
    <row r="972" spans="1:7" ht="22.5" x14ac:dyDescent="0.25">
      <c r="A972" s="13">
        <v>13330</v>
      </c>
      <c r="B972" s="14">
        <v>43424.48228009259</v>
      </c>
      <c r="C972" s="13" t="s">
        <v>10</v>
      </c>
      <c r="D972" s="13" t="str">
        <f t="shared" si="72"/>
        <v>MATERIALE PROTESICO</v>
      </c>
      <c r="E972" s="13" t="str">
        <f t="shared" si="71"/>
        <v>JOHNSON &amp; JOHNSON MEDICAL SPA</v>
      </c>
      <c r="F972" s="13" t="s">
        <v>14</v>
      </c>
      <c r="G972" s="15">
        <v>972</v>
      </c>
    </row>
    <row r="973" spans="1:7" ht="22.5" x14ac:dyDescent="0.25">
      <c r="A973" s="13">
        <v>13331</v>
      </c>
      <c r="B973" s="14">
        <v>43424.48228009259</v>
      </c>
      <c r="C973" s="13" t="s">
        <v>10</v>
      </c>
      <c r="D973" s="13" t="str">
        <f t="shared" si="72"/>
        <v>MATERIALE PROTESICO</v>
      </c>
      <c r="E973" s="13" t="str">
        <f t="shared" si="71"/>
        <v>JOHNSON &amp; JOHNSON MEDICAL SPA</v>
      </c>
      <c r="F973" s="13" t="s">
        <v>14</v>
      </c>
      <c r="G973" s="15">
        <v>1219.1600000000001</v>
      </c>
    </row>
    <row r="974" spans="1:7" ht="22.5" x14ac:dyDescent="0.25">
      <c r="A974" s="13">
        <v>13332</v>
      </c>
      <c r="B974" s="14">
        <v>43424.48228009259</v>
      </c>
      <c r="C974" s="13" t="s">
        <v>10</v>
      </c>
      <c r="D974" s="13" t="str">
        <f t="shared" si="72"/>
        <v>MATERIALE PROTESICO</v>
      </c>
      <c r="E974" s="13" t="str">
        <f t="shared" si="71"/>
        <v>JOHNSON &amp; JOHNSON MEDICAL SPA</v>
      </c>
      <c r="F974" s="13" t="s">
        <v>14</v>
      </c>
      <c r="G974" s="15">
        <v>266.66000000000003</v>
      </c>
    </row>
    <row r="975" spans="1:7" ht="22.5" x14ac:dyDescent="0.25">
      <c r="A975" s="13">
        <v>13333</v>
      </c>
      <c r="B975" s="14">
        <v>43424.48228009259</v>
      </c>
      <c r="C975" s="13" t="s">
        <v>10</v>
      </c>
      <c r="D975" s="13" t="str">
        <f t="shared" si="72"/>
        <v>MATERIALE PROTESICO</v>
      </c>
      <c r="E975" s="13" t="str">
        <f t="shared" si="71"/>
        <v>JOHNSON &amp; JOHNSON MEDICAL SPA</v>
      </c>
      <c r="F975" s="13" t="s">
        <v>14</v>
      </c>
      <c r="G975" s="15">
        <v>691.24</v>
      </c>
    </row>
    <row r="976" spans="1:7" ht="22.5" x14ac:dyDescent="0.25">
      <c r="A976" s="13">
        <v>13334</v>
      </c>
      <c r="B976" s="14">
        <v>43424.48228009259</v>
      </c>
      <c r="C976" s="13" t="s">
        <v>10</v>
      </c>
      <c r="D976" s="13" t="str">
        <f t="shared" si="72"/>
        <v>MATERIALE PROTESICO</v>
      </c>
      <c r="E976" s="13" t="str">
        <f t="shared" si="71"/>
        <v>JOHNSON &amp; JOHNSON MEDICAL SPA</v>
      </c>
      <c r="F976" s="13" t="s">
        <v>14</v>
      </c>
      <c r="G976" s="15">
        <v>213.64</v>
      </c>
    </row>
    <row r="977" spans="1:7" ht="22.5" x14ac:dyDescent="0.25">
      <c r="A977" s="13">
        <v>13335</v>
      </c>
      <c r="B977" s="14">
        <v>43424.48228009259</v>
      </c>
      <c r="C977" s="13" t="s">
        <v>10</v>
      </c>
      <c r="D977" s="13" t="str">
        <f t="shared" si="72"/>
        <v>MATERIALE PROTESICO</v>
      </c>
      <c r="E977" s="13" t="str">
        <f t="shared" si="71"/>
        <v>JOHNSON &amp; JOHNSON MEDICAL SPA</v>
      </c>
      <c r="F977" s="13" t="s">
        <v>14</v>
      </c>
      <c r="G977" s="15">
        <v>162.72</v>
      </c>
    </row>
    <row r="978" spans="1:7" ht="22.5" x14ac:dyDescent="0.25">
      <c r="A978" s="13">
        <v>13336</v>
      </c>
      <c r="B978" s="14">
        <v>43424.48228009259</v>
      </c>
      <c r="C978" s="13" t="s">
        <v>10</v>
      </c>
      <c r="D978" s="13" t="str">
        <f t="shared" si="72"/>
        <v>MATERIALE PROTESICO</v>
      </c>
      <c r="E978" s="13" t="str">
        <f t="shared" si="71"/>
        <v>JOHNSON &amp; JOHNSON MEDICAL SPA</v>
      </c>
      <c r="F978" s="13" t="s">
        <v>14</v>
      </c>
      <c r="G978" s="15">
        <v>20.149999999999999</v>
      </c>
    </row>
    <row r="979" spans="1:7" ht="22.5" x14ac:dyDescent="0.25">
      <c r="A979" s="13">
        <v>13337</v>
      </c>
      <c r="B979" s="14">
        <v>43424.48228009259</v>
      </c>
      <c r="C979" s="13" t="s">
        <v>10</v>
      </c>
      <c r="D979" s="13" t="str">
        <f t="shared" si="72"/>
        <v>MATERIALE PROTESICO</v>
      </c>
      <c r="E979" s="13" t="str">
        <f t="shared" si="71"/>
        <v>JOHNSON &amp; JOHNSON MEDICAL SPA</v>
      </c>
      <c r="F979" s="13" t="s">
        <v>14</v>
      </c>
      <c r="G979" s="15">
        <v>252.06</v>
      </c>
    </row>
    <row r="980" spans="1:7" ht="22.5" x14ac:dyDescent="0.25">
      <c r="A980" s="13">
        <v>13338</v>
      </c>
      <c r="B980" s="14">
        <v>43424.48228009259</v>
      </c>
      <c r="C980" s="13" t="s">
        <v>10</v>
      </c>
      <c r="D980" s="13" t="str">
        <f t="shared" si="72"/>
        <v>MATERIALE PROTESICO</v>
      </c>
      <c r="E980" s="13" t="str">
        <f t="shared" si="71"/>
        <v>JOHNSON &amp; JOHNSON MEDICAL SPA</v>
      </c>
      <c r="F980" s="13" t="s">
        <v>14</v>
      </c>
      <c r="G980" s="15">
        <v>609.12</v>
      </c>
    </row>
    <row r="981" spans="1:7" ht="22.5" x14ac:dyDescent="0.25">
      <c r="A981" s="13">
        <v>13339</v>
      </c>
      <c r="B981" s="14">
        <v>43424.482291666667</v>
      </c>
      <c r="C981" s="13" t="s">
        <v>10</v>
      </c>
      <c r="D981" s="13" t="str">
        <f t="shared" si="72"/>
        <v>MATERIALE PROTESICO</v>
      </c>
      <c r="E981" s="13" t="str">
        <f t="shared" si="71"/>
        <v>JOHNSON &amp; JOHNSON MEDICAL SPA</v>
      </c>
      <c r="F981" s="13" t="s">
        <v>14</v>
      </c>
      <c r="G981" s="15">
        <v>728.58</v>
      </c>
    </row>
    <row r="982" spans="1:7" ht="22.5" x14ac:dyDescent="0.25">
      <c r="A982" s="13">
        <v>13340</v>
      </c>
      <c r="B982" s="14">
        <v>43424.482291666667</v>
      </c>
      <c r="C982" s="13" t="s">
        <v>10</v>
      </c>
      <c r="D982" s="13" t="str">
        <f t="shared" si="72"/>
        <v>MATERIALE PROTESICO</v>
      </c>
      <c r="E982" s="13" t="str">
        <f t="shared" si="71"/>
        <v>JOHNSON &amp; JOHNSON MEDICAL SPA</v>
      </c>
      <c r="F982" s="13" t="s">
        <v>14</v>
      </c>
      <c r="G982" s="15">
        <v>120.25</v>
      </c>
    </row>
    <row r="983" spans="1:7" ht="22.5" x14ac:dyDescent="0.25">
      <c r="A983" s="13">
        <v>13341</v>
      </c>
      <c r="B983" s="14">
        <v>43424.482291666667</v>
      </c>
      <c r="C983" s="13" t="s">
        <v>10</v>
      </c>
      <c r="D983" s="13" t="str">
        <f t="shared" si="72"/>
        <v>MATERIALE PROTESICO</v>
      </c>
      <c r="E983" s="13" t="str">
        <f t="shared" si="71"/>
        <v>JOHNSON &amp; JOHNSON MEDICAL SPA</v>
      </c>
      <c r="F983" s="13" t="s">
        <v>14</v>
      </c>
      <c r="G983" s="15">
        <v>353.81</v>
      </c>
    </row>
    <row r="984" spans="1:7" ht="22.5" x14ac:dyDescent="0.25">
      <c r="A984" s="13">
        <v>13342</v>
      </c>
      <c r="B984" s="14">
        <v>43424.482291666667</v>
      </c>
      <c r="C984" s="13" t="s">
        <v>10</v>
      </c>
      <c r="D984" s="13" t="str">
        <f t="shared" si="72"/>
        <v>MATERIALE PROTESICO</v>
      </c>
      <c r="E984" s="13" t="str">
        <f t="shared" si="71"/>
        <v>JOHNSON &amp; JOHNSON MEDICAL SPA</v>
      </c>
      <c r="F984" s="13" t="s">
        <v>14</v>
      </c>
      <c r="G984" s="15">
        <v>132.6</v>
      </c>
    </row>
    <row r="985" spans="1:7" ht="22.5" x14ac:dyDescent="0.25">
      <c r="A985" s="13">
        <v>13343</v>
      </c>
      <c r="B985" s="14">
        <v>43424.482291666667</v>
      </c>
      <c r="C985" s="13" t="s">
        <v>10</v>
      </c>
      <c r="D985" s="13" t="str">
        <f t="shared" si="72"/>
        <v>MATERIALE PROTESICO</v>
      </c>
      <c r="E985" s="13" t="str">
        <f t="shared" si="71"/>
        <v>JOHNSON &amp; JOHNSON MEDICAL SPA</v>
      </c>
      <c r="F985" s="13" t="s">
        <v>14</v>
      </c>
      <c r="G985" s="15">
        <v>728.58</v>
      </c>
    </row>
    <row r="986" spans="1:7" ht="22.5" x14ac:dyDescent="0.25">
      <c r="A986" s="13">
        <v>13344</v>
      </c>
      <c r="B986" s="14">
        <v>43424.482291666667</v>
      </c>
      <c r="C986" s="13" t="s">
        <v>10</v>
      </c>
      <c r="D986" s="13" t="str">
        <f t="shared" si="72"/>
        <v>MATERIALE PROTESICO</v>
      </c>
      <c r="E986" s="13" t="str">
        <f t="shared" si="71"/>
        <v>JOHNSON &amp; JOHNSON MEDICAL SPA</v>
      </c>
      <c r="F986" s="13" t="s">
        <v>14</v>
      </c>
      <c r="G986" s="15">
        <v>531.34</v>
      </c>
    </row>
    <row r="987" spans="1:7" ht="22.5" x14ac:dyDescent="0.25">
      <c r="A987" s="13">
        <v>13345</v>
      </c>
      <c r="B987" s="14">
        <v>43424.482291666667</v>
      </c>
      <c r="C987" s="13" t="s">
        <v>10</v>
      </c>
      <c r="D987" s="13" t="str">
        <f t="shared" si="72"/>
        <v>MATERIALE PROTESICO</v>
      </c>
      <c r="E987" s="13" t="str">
        <f t="shared" si="71"/>
        <v>JOHNSON &amp; JOHNSON MEDICAL SPA</v>
      </c>
      <c r="F987" s="13" t="s">
        <v>14</v>
      </c>
      <c r="G987" s="15">
        <v>856.91</v>
      </c>
    </row>
    <row r="988" spans="1:7" ht="22.5" x14ac:dyDescent="0.25">
      <c r="A988" s="13">
        <v>13346</v>
      </c>
      <c r="B988" s="14">
        <v>43424.482291666667</v>
      </c>
      <c r="C988" s="13" t="s">
        <v>10</v>
      </c>
      <c r="D988" s="13" t="str">
        <f t="shared" si="72"/>
        <v>MATERIALE PROTESICO</v>
      </c>
      <c r="E988" s="13" t="str">
        <f t="shared" si="71"/>
        <v>JOHNSON &amp; JOHNSON MEDICAL SPA</v>
      </c>
      <c r="F988" s="13" t="s">
        <v>14</v>
      </c>
      <c r="G988" s="15">
        <v>140.4</v>
      </c>
    </row>
    <row r="989" spans="1:7" ht="22.5" x14ac:dyDescent="0.25">
      <c r="A989" s="13">
        <v>13347</v>
      </c>
      <c r="B989" s="14">
        <v>43424.482291666667</v>
      </c>
      <c r="C989" s="13" t="s">
        <v>10</v>
      </c>
      <c r="D989" s="13" t="str">
        <f t="shared" si="72"/>
        <v>MATERIALE PROTESICO</v>
      </c>
      <c r="E989" s="13" t="str">
        <f t="shared" si="71"/>
        <v>JOHNSON &amp; JOHNSON MEDICAL SPA</v>
      </c>
      <c r="F989" s="13" t="s">
        <v>14</v>
      </c>
      <c r="G989" s="15">
        <v>2327.1999999999998</v>
      </c>
    </row>
    <row r="990" spans="1:7" ht="22.5" x14ac:dyDescent="0.25">
      <c r="A990" s="13">
        <v>13348</v>
      </c>
      <c r="B990" s="14">
        <v>43424.482291666667</v>
      </c>
      <c r="C990" s="13" t="s">
        <v>10</v>
      </c>
      <c r="D990" s="13" t="str">
        <f t="shared" si="72"/>
        <v>MATERIALE PROTESICO</v>
      </c>
      <c r="E990" s="13" t="str">
        <f t="shared" si="71"/>
        <v>JOHNSON &amp; JOHNSON MEDICAL SPA</v>
      </c>
      <c r="F990" s="13" t="s">
        <v>14</v>
      </c>
      <c r="G990" s="15">
        <v>2884.97</v>
      </c>
    </row>
    <row r="991" spans="1:7" ht="22.5" x14ac:dyDescent="0.25">
      <c r="A991" s="13">
        <v>13349</v>
      </c>
      <c r="B991" s="14">
        <v>43424.482291666667</v>
      </c>
      <c r="C991" s="13" t="s">
        <v>10</v>
      </c>
      <c r="D991" s="13" t="str">
        <f t="shared" si="72"/>
        <v>MATERIALE PROTESICO</v>
      </c>
      <c r="E991" s="13" t="str">
        <f t="shared" si="71"/>
        <v>JOHNSON &amp; JOHNSON MEDICAL SPA</v>
      </c>
      <c r="F991" s="13" t="s">
        <v>14</v>
      </c>
      <c r="G991" s="15">
        <v>5.56</v>
      </c>
    </row>
    <row r="992" spans="1:7" ht="22.5" x14ac:dyDescent="0.25">
      <c r="A992" s="13">
        <v>13350</v>
      </c>
      <c r="B992" s="14">
        <v>43424.482291666667</v>
      </c>
      <c r="C992" s="13" t="s">
        <v>10</v>
      </c>
      <c r="D992" s="13" t="str">
        <f t="shared" si="72"/>
        <v>MATERIALE PROTESICO</v>
      </c>
      <c r="E992" s="13" t="str">
        <f t="shared" si="71"/>
        <v>JOHNSON &amp; JOHNSON MEDICAL SPA</v>
      </c>
      <c r="F992" s="13" t="s">
        <v>14</v>
      </c>
      <c r="G992" s="15">
        <v>604.79999999999995</v>
      </c>
    </row>
    <row r="993" spans="1:7" ht="22.5" x14ac:dyDescent="0.25">
      <c r="A993" s="13">
        <v>13351</v>
      </c>
      <c r="B993" s="14">
        <v>43424.482291666667</v>
      </c>
      <c r="C993" s="13" t="s">
        <v>10</v>
      </c>
      <c r="D993" s="13" t="str">
        <f t="shared" si="72"/>
        <v>MATERIALE PROTESICO</v>
      </c>
      <c r="E993" s="13" t="str">
        <f t="shared" si="71"/>
        <v>JOHNSON &amp; JOHNSON MEDICAL SPA</v>
      </c>
      <c r="F993" s="13" t="s">
        <v>14</v>
      </c>
      <c r="G993" s="15">
        <v>266.66000000000003</v>
      </c>
    </row>
    <row r="994" spans="1:7" ht="22.5" x14ac:dyDescent="0.25">
      <c r="A994" s="13">
        <v>13352</v>
      </c>
      <c r="B994" s="14">
        <v>43424.482291666667</v>
      </c>
      <c r="C994" s="13" t="s">
        <v>10</v>
      </c>
      <c r="D994" s="13" t="str">
        <f t="shared" si="72"/>
        <v>MATERIALE PROTESICO</v>
      </c>
      <c r="E994" s="13" t="str">
        <f t="shared" si="71"/>
        <v>JOHNSON &amp; JOHNSON MEDICAL SPA</v>
      </c>
      <c r="F994" s="13" t="s">
        <v>14</v>
      </c>
      <c r="G994" s="15">
        <v>266.66000000000003</v>
      </c>
    </row>
    <row r="995" spans="1:7" ht="22.5" x14ac:dyDescent="0.25">
      <c r="A995" s="13">
        <v>13353</v>
      </c>
      <c r="B995" s="14">
        <v>43424.482291666667</v>
      </c>
      <c r="C995" s="13" t="s">
        <v>10</v>
      </c>
      <c r="D995" s="13" t="str">
        <f>"STRUMENTARIO CHIRURGICO (K, L)"</f>
        <v>STRUMENTARIO CHIRURGICO (K, L)</v>
      </c>
      <c r="E995" s="13" t="str">
        <f t="shared" si="71"/>
        <v>JOHNSON &amp; JOHNSON MEDICAL SPA</v>
      </c>
      <c r="F995" s="13" t="s">
        <v>14</v>
      </c>
      <c r="G995" s="15">
        <v>22.78</v>
      </c>
    </row>
    <row r="996" spans="1:7" ht="22.5" x14ac:dyDescent="0.25">
      <c r="A996" s="13">
        <v>13354</v>
      </c>
      <c r="B996" s="14">
        <v>43424.482291666667</v>
      </c>
      <c r="C996" s="13" t="s">
        <v>10</v>
      </c>
      <c r="D996" s="13" t="str">
        <f>"STRUMENTARIO CHIRURGICO (K, L)"</f>
        <v>STRUMENTARIO CHIRURGICO (K, L)</v>
      </c>
      <c r="E996" s="13" t="str">
        <f t="shared" si="71"/>
        <v>JOHNSON &amp; JOHNSON MEDICAL SPA</v>
      </c>
      <c r="F996" s="13" t="s">
        <v>14</v>
      </c>
      <c r="G996" s="15">
        <v>90.35</v>
      </c>
    </row>
    <row r="997" spans="1:7" ht="22.5" x14ac:dyDescent="0.25">
      <c r="A997" s="13">
        <v>13355</v>
      </c>
      <c r="B997" s="14">
        <v>43424.482303240744</v>
      </c>
      <c r="C997" s="13" t="s">
        <v>10</v>
      </c>
      <c r="D997" s="13" t="str">
        <f t="shared" ref="D997:D1030" si="73">"MATERIALE PROTESICO"</f>
        <v>MATERIALE PROTESICO</v>
      </c>
      <c r="E997" s="13" t="str">
        <f t="shared" si="71"/>
        <v>JOHNSON &amp; JOHNSON MEDICAL SPA</v>
      </c>
      <c r="F997" s="13" t="s">
        <v>14</v>
      </c>
      <c r="G997" s="15">
        <v>40.299999999999997</v>
      </c>
    </row>
    <row r="998" spans="1:7" ht="22.5" x14ac:dyDescent="0.25">
      <c r="A998" s="13">
        <v>13356</v>
      </c>
      <c r="B998" s="14">
        <v>43424.482303240744</v>
      </c>
      <c r="C998" s="13" t="s">
        <v>10</v>
      </c>
      <c r="D998" s="13" t="str">
        <f t="shared" si="73"/>
        <v>MATERIALE PROTESICO</v>
      </c>
      <c r="E998" s="13" t="str">
        <f t="shared" si="71"/>
        <v>JOHNSON &amp; JOHNSON MEDICAL SPA</v>
      </c>
      <c r="F998" s="13" t="s">
        <v>14</v>
      </c>
      <c r="G998" s="15">
        <v>266.66000000000003</v>
      </c>
    </row>
    <row r="999" spans="1:7" ht="22.5" x14ac:dyDescent="0.25">
      <c r="A999" s="13">
        <v>13357</v>
      </c>
      <c r="B999" s="14">
        <v>43424.482303240744</v>
      </c>
      <c r="C999" s="13" t="s">
        <v>10</v>
      </c>
      <c r="D999" s="13" t="str">
        <f t="shared" si="73"/>
        <v>MATERIALE PROTESICO</v>
      </c>
      <c r="E999" s="13" t="str">
        <f t="shared" si="71"/>
        <v>JOHNSON &amp; JOHNSON MEDICAL SPA</v>
      </c>
      <c r="F999" s="13" t="s">
        <v>14</v>
      </c>
      <c r="G999" s="15">
        <v>266.66000000000003</v>
      </c>
    </row>
    <row r="1000" spans="1:7" ht="22.5" x14ac:dyDescent="0.25">
      <c r="A1000" s="13">
        <v>13358</v>
      </c>
      <c r="B1000" s="14">
        <v>43424.482303240744</v>
      </c>
      <c r="C1000" s="13" t="s">
        <v>10</v>
      </c>
      <c r="D1000" s="13" t="str">
        <f t="shared" si="73"/>
        <v>MATERIALE PROTESICO</v>
      </c>
      <c r="E1000" s="13" t="str">
        <f t="shared" si="71"/>
        <v>JOHNSON &amp; JOHNSON MEDICAL SPA</v>
      </c>
      <c r="F1000" s="13" t="s">
        <v>14</v>
      </c>
      <c r="G1000" s="15">
        <v>2212.46</v>
      </c>
    </row>
    <row r="1001" spans="1:7" ht="22.5" x14ac:dyDescent="0.25">
      <c r="A1001" s="13">
        <v>13359</v>
      </c>
      <c r="B1001" s="14">
        <v>43424.482303240744</v>
      </c>
      <c r="C1001" s="13" t="s">
        <v>10</v>
      </c>
      <c r="D1001" s="13" t="str">
        <f t="shared" si="73"/>
        <v>MATERIALE PROTESICO</v>
      </c>
      <c r="E1001" s="13" t="str">
        <f t="shared" si="71"/>
        <v>JOHNSON &amp; JOHNSON MEDICAL SPA</v>
      </c>
      <c r="F1001" s="13" t="s">
        <v>14</v>
      </c>
      <c r="G1001" s="15">
        <v>120.25</v>
      </c>
    </row>
    <row r="1002" spans="1:7" ht="22.5" x14ac:dyDescent="0.25">
      <c r="A1002" s="13">
        <v>13360</v>
      </c>
      <c r="B1002" s="14">
        <v>43424.482303240744</v>
      </c>
      <c r="C1002" s="13" t="s">
        <v>10</v>
      </c>
      <c r="D1002" s="13" t="str">
        <f t="shared" si="73"/>
        <v>MATERIALE PROTESICO</v>
      </c>
      <c r="E1002" s="13" t="str">
        <f t="shared" si="71"/>
        <v>JOHNSON &amp; JOHNSON MEDICAL SPA</v>
      </c>
      <c r="F1002" s="13" t="s">
        <v>14</v>
      </c>
      <c r="G1002" s="15">
        <v>8.64</v>
      </c>
    </row>
    <row r="1003" spans="1:7" ht="22.5" x14ac:dyDescent="0.25">
      <c r="A1003" s="13">
        <v>13361</v>
      </c>
      <c r="B1003" s="14">
        <v>43424.482303240744</v>
      </c>
      <c r="C1003" s="13" t="s">
        <v>10</v>
      </c>
      <c r="D1003" s="13" t="str">
        <f t="shared" si="73"/>
        <v>MATERIALE PROTESICO</v>
      </c>
      <c r="E1003" s="13" t="str">
        <f t="shared" si="71"/>
        <v>JOHNSON &amp; JOHNSON MEDICAL SPA</v>
      </c>
      <c r="F1003" s="13" t="s">
        <v>14</v>
      </c>
      <c r="G1003" s="15">
        <v>2898.68</v>
      </c>
    </row>
    <row r="1004" spans="1:7" ht="22.5" x14ac:dyDescent="0.25">
      <c r="A1004" s="13">
        <v>13362</v>
      </c>
      <c r="B1004" s="14">
        <v>43424.482303240744</v>
      </c>
      <c r="C1004" s="13" t="s">
        <v>10</v>
      </c>
      <c r="D1004" s="13" t="str">
        <f t="shared" si="73"/>
        <v>MATERIALE PROTESICO</v>
      </c>
      <c r="E1004" s="13" t="str">
        <f t="shared" si="71"/>
        <v>JOHNSON &amp; JOHNSON MEDICAL SPA</v>
      </c>
      <c r="F1004" s="13" t="s">
        <v>14</v>
      </c>
      <c r="G1004" s="15">
        <v>610.91</v>
      </c>
    </row>
    <row r="1005" spans="1:7" ht="22.5" x14ac:dyDescent="0.25">
      <c r="A1005" s="13">
        <v>13363</v>
      </c>
      <c r="B1005" s="14">
        <v>43424.482303240744</v>
      </c>
      <c r="C1005" s="13" t="s">
        <v>10</v>
      </c>
      <c r="D1005" s="13" t="str">
        <f t="shared" si="73"/>
        <v>MATERIALE PROTESICO</v>
      </c>
      <c r="E1005" s="13" t="str">
        <f t="shared" si="71"/>
        <v>JOHNSON &amp; JOHNSON MEDICAL SPA</v>
      </c>
      <c r="F1005" s="13" t="s">
        <v>14</v>
      </c>
      <c r="G1005" s="15">
        <v>728.58</v>
      </c>
    </row>
    <row r="1006" spans="1:7" ht="22.5" x14ac:dyDescent="0.25">
      <c r="A1006" s="13">
        <v>13364</v>
      </c>
      <c r="B1006" s="14">
        <v>43424.482303240744</v>
      </c>
      <c r="C1006" s="13" t="s">
        <v>10</v>
      </c>
      <c r="D1006" s="13" t="str">
        <f t="shared" si="73"/>
        <v>MATERIALE PROTESICO</v>
      </c>
      <c r="E1006" s="13" t="str">
        <f t="shared" si="71"/>
        <v>JOHNSON &amp; JOHNSON MEDICAL SPA</v>
      </c>
      <c r="F1006" s="13" t="s">
        <v>14</v>
      </c>
      <c r="G1006" s="15">
        <v>2844</v>
      </c>
    </row>
    <row r="1007" spans="1:7" ht="22.5" x14ac:dyDescent="0.25">
      <c r="A1007" s="13">
        <v>13365</v>
      </c>
      <c r="B1007" s="14">
        <v>43424.482303240744</v>
      </c>
      <c r="C1007" s="13" t="s">
        <v>10</v>
      </c>
      <c r="D1007" s="13" t="str">
        <f t="shared" si="73"/>
        <v>MATERIALE PROTESICO</v>
      </c>
      <c r="E1007" s="13" t="str">
        <f t="shared" si="71"/>
        <v>JOHNSON &amp; JOHNSON MEDICAL SPA</v>
      </c>
      <c r="F1007" s="13" t="s">
        <v>14</v>
      </c>
      <c r="G1007" s="15">
        <v>952.47</v>
      </c>
    </row>
    <row r="1008" spans="1:7" ht="22.5" x14ac:dyDescent="0.25">
      <c r="A1008" s="13">
        <v>13366</v>
      </c>
      <c r="B1008" s="14">
        <v>43424.482303240744</v>
      </c>
      <c r="C1008" s="13" t="s">
        <v>10</v>
      </c>
      <c r="D1008" s="13" t="str">
        <f t="shared" si="73"/>
        <v>MATERIALE PROTESICO</v>
      </c>
      <c r="E1008" s="13" t="str">
        <f t="shared" si="71"/>
        <v>JOHNSON &amp; JOHNSON MEDICAL SPA</v>
      </c>
      <c r="F1008" s="13" t="s">
        <v>14</v>
      </c>
      <c r="G1008" s="15">
        <v>610.91</v>
      </c>
    </row>
    <row r="1009" spans="1:7" ht="22.5" x14ac:dyDescent="0.25">
      <c r="A1009" s="13">
        <v>13367</v>
      </c>
      <c r="B1009" s="14">
        <v>43424.482303240744</v>
      </c>
      <c r="C1009" s="13" t="s">
        <v>10</v>
      </c>
      <c r="D1009" s="13" t="str">
        <f t="shared" si="73"/>
        <v>MATERIALE PROTESICO</v>
      </c>
      <c r="E1009" s="13" t="str">
        <f t="shared" si="71"/>
        <v>JOHNSON &amp; JOHNSON MEDICAL SPA</v>
      </c>
      <c r="F1009" s="13" t="s">
        <v>14</v>
      </c>
      <c r="G1009" s="15">
        <v>263.25</v>
      </c>
    </row>
    <row r="1010" spans="1:7" ht="22.5" x14ac:dyDescent="0.25">
      <c r="A1010" s="13">
        <v>13368</v>
      </c>
      <c r="B1010" s="14">
        <v>43424.482303240744</v>
      </c>
      <c r="C1010" s="13" t="s">
        <v>10</v>
      </c>
      <c r="D1010" s="13" t="str">
        <f t="shared" si="73"/>
        <v>MATERIALE PROTESICO</v>
      </c>
      <c r="E1010" s="13" t="str">
        <f t="shared" si="71"/>
        <v>JOHNSON &amp; JOHNSON MEDICAL SPA</v>
      </c>
      <c r="F1010" s="13" t="s">
        <v>14</v>
      </c>
      <c r="G1010" s="15">
        <v>266.66000000000003</v>
      </c>
    </row>
    <row r="1011" spans="1:7" ht="22.5" x14ac:dyDescent="0.25">
      <c r="A1011" s="13">
        <v>13369</v>
      </c>
      <c r="B1011" s="14">
        <v>43424.482303240744</v>
      </c>
      <c r="C1011" s="13" t="s">
        <v>10</v>
      </c>
      <c r="D1011" s="13" t="str">
        <f t="shared" si="73"/>
        <v>MATERIALE PROTESICO</v>
      </c>
      <c r="E1011" s="13" t="str">
        <f t="shared" si="71"/>
        <v>JOHNSON &amp; JOHNSON MEDICAL SPA</v>
      </c>
      <c r="F1011" s="13" t="s">
        <v>14</v>
      </c>
      <c r="G1011" s="15">
        <v>479.52</v>
      </c>
    </row>
    <row r="1012" spans="1:7" ht="22.5" x14ac:dyDescent="0.25">
      <c r="A1012" s="13">
        <v>13370</v>
      </c>
      <c r="B1012" s="14">
        <v>43424.482303240744</v>
      </c>
      <c r="C1012" s="13" t="s">
        <v>10</v>
      </c>
      <c r="D1012" s="13" t="str">
        <f t="shared" si="73"/>
        <v>MATERIALE PROTESICO</v>
      </c>
      <c r="E1012" s="13" t="str">
        <f t="shared" si="71"/>
        <v>JOHNSON &amp; JOHNSON MEDICAL SPA</v>
      </c>
      <c r="F1012" s="13" t="s">
        <v>14</v>
      </c>
      <c r="G1012" s="15">
        <v>2884.97</v>
      </c>
    </row>
    <row r="1013" spans="1:7" ht="22.5" x14ac:dyDescent="0.25">
      <c r="A1013" s="13">
        <v>13371</v>
      </c>
      <c r="B1013" s="14">
        <v>43424.482303240744</v>
      </c>
      <c r="C1013" s="13" t="s">
        <v>10</v>
      </c>
      <c r="D1013" s="13" t="str">
        <f t="shared" si="73"/>
        <v>MATERIALE PROTESICO</v>
      </c>
      <c r="E1013" s="13" t="str">
        <f t="shared" si="71"/>
        <v>JOHNSON &amp; JOHNSON MEDICAL SPA</v>
      </c>
      <c r="F1013" s="13" t="s">
        <v>14</v>
      </c>
      <c r="G1013" s="15">
        <v>266.66000000000003</v>
      </c>
    </row>
    <row r="1014" spans="1:7" ht="22.5" x14ac:dyDescent="0.25">
      <c r="A1014" s="13">
        <v>13372</v>
      </c>
      <c r="B1014" s="14">
        <v>43424.482314814813</v>
      </c>
      <c r="C1014" s="13" t="s">
        <v>10</v>
      </c>
      <c r="D1014" s="13" t="str">
        <f t="shared" si="73"/>
        <v>MATERIALE PROTESICO</v>
      </c>
      <c r="E1014" s="13" t="str">
        <f t="shared" si="71"/>
        <v>JOHNSON &amp; JOHNSON MEDICAL SPA</v>
      </c>
      <c r="F1014" s="13" t="s">
        <v>14</v>
      </c>
      <c r="G1014" s="15">
        <v>266.66000000000003</v>
      </c>
    </row>
    <row r="1015" spans="1:7" ht="22.5" x14ac:dyDescent="0.25">
      <c r="A1015" s="13">
        <v>13373</v>
      </c>
      <c r="B1015" s="14">
        <v>43424.482314814813</v>
      </c>
      <c r="C1015" s="13" t="s">
        <v>10</v>
      </c>
      <c r="D1015" s="13" t="str">
        <f t="shared" si="73"/>
        <v>MATERIALE PROTESICO</v>
      </c>
      <c r="E1015" s="13" t="str">
        <f t="shared" ref="E1015:E1052" si="74">"JOHNSON &amp; JOHNSON MEDICAL SPA"</f>
        <v>JOHNSON &amp; JOHNSON MEDICAL SPA</v>
      </c>
      <c r="F1015" s="13" t="s">
        <v>14</v>
      </c>
      <c r="G1015" s="15">
        <v>11.12</v>
      </c>
    </row>
    <row r="1016" spans="1:7" ht="22.5" x14ac:dyDescent="0.25">
      <c r="A1016" s="13">
        <v>13374</v>
      </c>
      <c r="B1016" s="14">
        <v>43424.482314814813</v>
      </c>
      <c r="C1016" s="13" t="s">
        <v>10</v>
      </c>
      <c r="D1016" s="13" t="str">
        <f t="shared" si="73"/>
        <v>MATERIALE PROTESICO</v>
      </c>
      <c r="E1016" s="13" t="str">
        <f t="shared" si="74"/>
        <v>JOHNSON &amp; JOHNSON MEDICAL SPA</v>
      </c>
      <c r="F1016" s="13" t="s">
        <v>14</v>
      </c>
      <c r="G1016" s="15">
        <v>6753.9</v>
      </c>
    </row>
    <row r="1017" spans="1:7" ht="22.5" x14ac:dyDescent="0.25">
      <c r="A1017" s="13">
        <v>13375</v>
      </c>
      <c r="B1017" s="14">
        <v>43424.482314814813</v>
      </c>
      <c r="C1017" s="13" t="s">
        <v>10</v>
      </c>
      <c r="D1017" s="13" t="str">
        <f t="shared" si="73"/>
        <v>MATERIALE PROTESICO</v>
      </c>
      <c r="E1017" s="13" t="str">
        <f t="shared" si="74"/>
        <v>JOHNSON &amp; JOHNSON MEDICAL SPA</v>
      </c>
      <c r="F1017" s="13" t="s">
        <v>14</v>
      </c>
      <c r="G1017" s="15">
        <v>202.8</v>
      </c>
    </row>
    <row r="1018" spans="1:7" ht="22.5" x14ac:dyDescent="0.25">
      <c r="A1018" s="13">
        <v>13376</v>
      </c>
      <c r="B1018" s="14">
        <v>43424.482314814813</v>
      </c>
      <c r="C1018" s="13" t="s">
        <v>10</v>
      </c>
      <c r="D1018" s="13" t="str">
        <f t="shared" si="73"/>
        <v>MATERIALE PROTESICO</v>
      </c>
      <c r="E1018" s="13" t="str">
        <f t="shared" si="74"/>
        <v>JOHNSON &amp; JOHNSON MEDICAL SPA</v>
      </c>
      <c r="F1018" s="13" t="s">
        <v>14</v>
      </c>
      <c r="G1018" s="15">
        <v>856.91</v>
      </c>
    </row>
    <row r="1019" spans="1:7" ht="22.5" x14ac:dyDescent="0.25">
      <c r="A1019" s="13">
        <v>13377</v>
      </c>
      <c r="B1019" s="14">
        <v>43424.482314814813</v>
      </c>
      <c r="C1019" s="13" t="s">
        <v>10</v>
      </c>
      <c r="D1019" s="13" t="str">
        <f t="shared" si="73"/>
        <v>MATERIALE PROTESICO</v>
      </c>
      <c r="E1019" s="13" t="str">
        <f t="shared" si="74"/>
        <v>JOHNSON &amp; JOHNSON MEDICAL SPA</v>
      </c>
      <c r="F1019" s="13" t="s">
        <v>14</v>
      </c>
      <c r="G1019" s="15">
        <v>144</v>
      </c>
    </row>
    <row r="1020" spans="1:7" ht="22.5" x14ac:dyDescent="0.25">
      <c r="A1020" s="13">
        <v>13378</v>
      </c>
      <c r="B1020" s="14">
        <v>43424.482314814813</v>
      </c>
      <c r="C1020" s="13" t="s">
        <v>10</v>
      </c>
      <c r="D1020" s="13" t="str">
        <f t="shared" si="73"/>
        <v>MATERIALE PROTESICO</v>
      </c>
      <c r="E1020" s="13" t="str">
        <f t="shared" si="74"/>
        <v>JOHNSON &amp; JOHNSON MEDICAL SPA</v>
      </c>
      <c r="F1020" s="13" t="s">
        <v>14</v>
      </c>
      <c r="G1020" s="15">
        <v>40.299999999999997</v>
      </c>
    </row>
    <row r="1021" spans="1:7" ht="22.5" x14ac:dyDescent="0.25">
      <c r="A1021" s="13">
        <v>13379</v>
      </c>
      <c r="B1021" s="14">
        <v>43424.482314814813</v>
      </c>
      <c r="C1021" s="13" t="s">
        <v>10</v>
      </c>
      <c r="D1021" s="13" t="str">
        <f t="shared" si="73"/>
        <v>MATERIALE PROTESICO</v>
      </c>
      <c r="E1021" s="13" t="str">
        <f t="shared" si="74"/>
        <v>JOHNSON &amp; JOHNSON MEDICAL SPA</v>
      </c>
      <c r="F1021" s="13" t="s">
        <v>14</v>
      </c>
      <c r="G1021" s="15">
        <v>42.24</v>
      </c>
    </row>
    <row r="1022" spans="1:7" ht="22.5" x14ac:dyDescent="0.25">
      <c r="A1022" s="13">
        <v>13380</v>
      </c>
      <c r="B1022" s="14">
        <v>43424.482314814813</v>
      </c>
      <c r="C1022" s="13" t="s">
        <v>10</v>
      </c>
      <c r="D1022" s="13" t="str">
        <f t="shared" si="73"/>
        <v>MATERIALE PROTESICO</v>
      </c>
      <c r="E1022" s="13" t="str">
        <f t="shared" si="74"/>
        <v>JOHNSON &amp; JOHNSON MEDICAL SPA</v>
      </c>
      <c r="F1022" s="13" t="s">
        <v>14</v>
      </c>
      <c r="G1022" s="15">
        <v>167.04</v>
      </c>
    </row>
    <row r="1023" spans="1:7" ht="22.5" x14ac:dyDescent="0.25">
      <c r="A1023" s="13">
        <v>13381</v>
      </c>
      <c r="B1023" s="14">
        <v>43424.482314814813</v>
      </c>
      <c r="C1023" s="13" t="s">
        <v>10</v>
      </c>
      <c r="D1023" s="13" t="str">
        <f t="shared" si="73"/>
        <v>MATERIALE PROTESICO</v>
      </c>
      <c r="E1023" s="13" t="str">
        <f t="shared" si="74"/>
        <v>JOHNSON &amp; JOHNSON MEDICAL SPA</v>
      </c>
      <c r="F1023" s="13" t="s">
        <v>14</v>
      </c>
      <c r="G1023" s="15">
        <v>120.25</v>
      </c>
    </row>
    <row r="1024" spans="1:7" ht="22.5" x14ac:dyDescent="0.25">
      <c r="A1024" s="13">
        <v>13382</v>
      </c>
      <c r="B1024" s="14">
        <v>43424.482314814813</v>
      </c>
      <c r="C1024" s="13" t="s">
        <v>10</v>
      </c>
      <c r="D1024" s="13" t="str">
        <f t="shared" si="73"/>
        <v>MATERIALE PROTESICO</v>
      </c>
      <c r="E1024" s="13" t="str">
        <f t="shared" si="74"/>
        <v>JOHNSON &amp; JOHNSON MEDICAL SPA</v>
      </c>
      <c r="F1024" s="13" t="s">
        <v>14</v>
      </c>
      <c r="G1024" s="15">
        <v>266.66000000000003</v>
      </c>
    </row>
    <row r="1025" spans="1:7" ht="22.5" x14ac:dyDescent="0.25">
      <c r="A1025" s="13">
        <v>13383</v>
      </c>
      <c r="B1025" s="14">
        <v>43424.482314814813</v>
      </c>
      <c r="C1025" s="13" t="s">
        <v>10</v>
      </c>
      <c r="D1025" s="13" t="str">
        <f t="shared" si="73"/>
        <v>MATERIALE PROTESICO</v>
      </c>
      <c r="E1025" s="13" t="str">
        <f t="shared" si="74"/>
        <v>JOHNSON &amp; JOHNSON MEDICAL SPA</v>
      </c>
      <c r="F1025" s="13" t="s">
        <v>14</v>
      </c>
      <c r="G1025" s="15">
        <v>1036.8599999999999</v>
      </c>
    </row>
    <row r="1026" spans="1:7" ht="22.5" x14ac:dyDescent="0.25">
      <c r="A1026" s="13">
        <v>13384</v>
      </c>
      <c r="B1026" s="14">
        <v>43424.482314814813</v>
      </c>
      <c r="C1026" s="13" t="s">
        <v>10</v>
      </c>
      <c r="D1026" s="13" t="str">
        <f t="shared" si="73"/>
        <v>MATERIALE PROTESICO</v>
      </c>
      <c r="E1026" s="13" t="str">
        <f t="shared" si="74"/>
        <v>JOHNSON &amp; JOHNSON MEDICAL SPA</v>
      </c>
      <c r="F1026" s="13" t="s">
        <v>14</v>
      </c>
      <c r="G1026" s="15">
        <v>384</v>
      </c>
    </row>
    <row r="1027" spans="1:7" ht="22.5" x14ac:dyDescent="0.25">
      <c r="A1027" s="13">
        <v>13385</v>
      </c>
      <c r="B1027" s="14">
        <v>43424.482314814813</v>
      </c>
      <c r="C1027" s="13" t="s">
        <v>10</v>
      </c>
      <c r="D1027" s="13" t="str">
        <f t="shared" si="73"/>
        <v>MATERIALE PROTESICO</v>
      </c>
      <c r="E1027" s="13" t="str">
        <f t="shared" si="74"/>
        <v>JOHNSON &amp; JOHNSON MEDICAL SPA</v>
      </c>
      <c r="F1027" s="13" t="s">
        <v>14</v>
      </c>
      <c r="G1027" s="15">
        <v>2558.87</v>
      </c>
    </row>
    <row r="1028" spans="1:7" ht="22.5" x14ac:dyDescent="0.25">
      <c r="A1028" s="13">
        <v>13386</v>
      </c>
      <c r="B1028" s="14">
        <v>43424.482314814813</v>
      </c>
      <c r="C1028" s="13" t="s">
        <v>10</v>
      </c>
      <c r="D1028" s="13" t="str">
        <f t="shared" si="73"/>
        <v>MATERIALE PROTESICO</v>
      </c>
      <c r="E1028" s="13" t="str">
        <f t="shared" si="74"/>
        <v>JOHNSON &amp; JOHNSON MEDICAL SPA</v>
      </c>
      <c r="F1028" s="13" t="s">
        <v>14</v>
      </c>
      <c r="G1028" s="15">
        <v>2406.13</v>
      </c>
    </row>
    <row r="1029" spans="1:7" ht="22.5" x14ac:dyDescent="0.25">
      <c r="A1029" s="13">
        <v>13387</v>
      </c>
      <c r="B1029" s="14">
        <v>43424.482314814813</v>
      </c>
      <c r="C1029" s="13" t="s">
        <v>10</v>
      </c>
      <c r="D1029" s="13" t="str">
        <f t="shared" si="73"/>
        <v>MATERIALE PROTESICO</v>
      </c>
      <c r="E1029" s="13" t="str">
        <f t="shared" si="74"/>
        <v>JOHNSON &amp; JOHNSON MEDICAL SPA</v>
      </c>
      <c r="F1029" s="13" t="s">
        <v>14</v>
      </c>
      <c r="G1029" s="15">
        <v>2406.13</v>
      </c>
    </row>
    <row r="1030" spans="1:7" ht="22.5" x14ac:dyDescent="0.25">
      <c r="A1030" s="13">
        <v>13388</v>
      </c>
      <c r="B1030" s="14">
        <v>43424.482314814813</v>
      </c>
      <c r="C1030" s="13" t="s">
        <v>10</v>
      </c>
      <c r="D1030" s="13" t="str">
        <f t="shared" si="73"/>
        <v>MATERIALE PROTESICO</v>
      </c>
      <c r="E1030" s="13" t="str">
        <f t="shared" si="74"/>
        <v>JOHNSON &amp; JOHNSON MEDICAL SPA</v>
      </c>
      <c r="F1030" s="13" t="s">
        <v>14</v>
      </c>
      <c r="G1030" s="15">
        <v>1273.52</v>
      </c>
    </row>
    <row r="1031" spans="1:7" ht="22.5" x14ac:dyDescent="0.25">
      <c r="A1031" s="13">
        <v>13389</v>
      </c>
      <c r="B1031" s="14">
        <v>43424.482314814813</v>
      </c>
      <c r="C1031" s="13" t="s">
        <v>10</v>
      </c>
      <c r="D1031" s="13" t="str">
        <f>"STRUMENTARIO CHIRURGICO (K, L)"</f>
        <v>STRUMENTARIO CHIRURGICO (K, L)</v>
      </c>
      <c r="E1031" s="13" t="str">
        <f t="shared" si="74"/>
        <v>JOHNSON &amp; JOHNSON MEDICAL SPA</v>
      </c>
      <c r="F1031" s="13" t="s">
        <v>14</v>
      </c>
      <c r="G1031" s="15">
        <v>12.4</v>
      </c>
    </row>
    <row r="1032" spans="1:7" ht="22.5" x14ac:dyDescent="0.25">
      <c r="A1032" s="13">
        <v>13390</v>
      </c>
      <c r="B1032" s="14">
        <v>43424.48232638889</v>
      </c>
      <c r="C1032" s="13" t="s">
        <v>10</v>
      </c>
      <c r="D1032" s="13" t="str">
        <f t="shared" ref="D1032:D1048" si="75">"MATERIALE PROTESICO"</f>
        <v>MATERIALE PROTESICO</v>
      </c>
      <c r="E1032" s="13" t="str">
        <f t="shared" si="74"/>
        <v>JOHNSON &amp; JOHNSON MEDICAL SPA</v>
      </c>
      <c r="F1032" s="13" t="s">
        <v>14</v>
      </c>
      <c r="G1032" s="15">
        <v>452.88</v>
      </c>
    </row>
    <row r="1033" spans="1:7" ht="22.5" x14ac:dyDescent="0.25">
      <c r="A1033" s="13">
        <v>13391</v>
      </c>
      <c r="B1033" s="14">
        <v>43424.48232638889</v>
      </c>
      <c r="C1033" s="13" t="s">
        <v>10</v>
      </c>
      <c r="D1033" s="13" t="str">
        <f t="shared" si="75"/>
        <v>MATERIALE PROTESICO</v>
      </c>
      <c r="E1033" s="13" t="str">
        <f t="shared" si="74"/>
        <v>JOHNSON &amp; JOHNSON MEDICAL SPA</v>
      </c>
      <c r="F1033" s="13" t="s">
        <v>14</v>
      </c>
      <c r="G1033" s="15">
        <v>20.88</v>
      </c>
    </row>
    <row r="1034" spans="1:7" ht="22.5" x14ac:dyDescent="0.25">
      <c r="A1034" s="13">
        <v>13392</v>
      </c>
      <c r="B1034" s="14">
        <v>43424.48232638889</v>
      </c>
      <c r="C1034" s="13" t="s">
        <v>10</v>
      </c>
      <c r="D1034" s="13" t="str">
        <f t="shared" si="75"/>
        <v>MATERIALE PROTESICO</v>
      </c>
      <c r="E1034" s="13" t="str">
        <f t="shared" si="74"/>
        <v>JOHNSON &amp; JOHNSON MEDICAL SPA</v>
      </c>
      <c r="F1034" s="13" t="s">
        <v>14</v>
      </c>
      <c r="G1034" s="15">
        <v>1025.28</v>
      </c>
    </row>
    <row r="1035" spans="1:7" ht="22.5" x14ac:dyDescent="0.25">
      <c r="A1035" s="13">
        <v>13393</v>
      </c>
      <c r="B1035" s="14">
        <v>43424.48232638889</v>
      </c>
      <c r="C1035" s="13" t="s">
        <v>10</v>
      </c>
      <c r="D1035" s="13" t="str">
        <f t="shared" si="75"/>
        <v>MATERIALE PROTESICO</v>
      </c>
      <c r="E1035" s="13" t="str">
        <f t="shared" si="74"/>
        <v>JOHNSON &amp; JOHNSON MEDICAL SPA</v>
      </c>
      <c r="F1035" s="13" t="s">
        <v>14</v>
      </c>
      <c r="G1035" s="15">
        <v>834.48</v>
      </c>
    </row>
    <row r="1036" spans="1:7" ht="22.5" x14ac:dyDescent="0.25">
      <c r="A1036" s="13">
        <v>13394</v>
      </c>
      <c r="B1036" s="14">
        <v>43424.48232638889</v>
      </c>
      <c r="C1036" s="13" t="s">
        <v>10</v>
      </c>
      <c r="D1036" s="13" t="str">
        <f t="shared" si="75"/>
        <v>MATERIALE PROTESICO</v>
      </c>
      <c r="E1036" s="13" t="str">
        <f t="shared" si="74"/>
        <v>JOHNSON &amp; JOHNSON MEDICAL SPA</v>
      </c>
      <c r="F1036" s="13" t="s">
        <v>14</v>
      </c>
      <c r="G1036" s="15">
        <v>712.12</v>
      </c>
    </row>
    <row r="1037" spans="1:7" ht="22.5" x14ac:dyDescent="0.25">
      <c r="A1037" s="13">
        <v>13395</v>
      </c>
      <c r="B1037" s="14">
        <v>43424.48232638889</v>
      </c>
      <c r="C1037" s="13" t="s">
        <v>10</v>
      </c>
      <c r="D1037" s="13" t="str">
        <f t="shared" si="75"/>
        <v>MATERIALE PROTESICO</v>
      </c>
      <c r="E1037" s="13" t="str">
        <f t="shared" si="74"/>
        <v>JOHNSON &amp; JOHNSON MEDICAL SPA</v>
      </c>
      <c r="F1037" s="13" t="s">
        <v>14</v>
      </c>
      <c r="G1037" s="15">
        <v>116.9</v>
      </c>
    </row>
    <row r="1038" spans="1:7" ht="22.5" x14ac:dyDescent="0.25">
      <c r="A1038" s="13">
        <v>13396</v>
      </c>
      <c r="B1038" s="14">
        <v>43424.48232638889</v>
      </c>
      <c r="C1038" s="13" t="s">
        <v>10</v>
      </c>
      <c r="D1038" s="13" t="str">
        <f t="shared" si="75"/>
        <v>MATERIALE PROTESICO</v>
      </c>
      <c r="E1038" s="13" t="str">
        <f t="shared" si="74"/>
        <v>JOHNSON &amp; JOHNSON MEDICAL SPA</v>
      </c>
      <c r="F1038" s="13" t="s">
        <v>14</v>
      </c>
      <c r="G1038" s="15">
        <v>1307.3900000000001</v>
      </c>
    </row>
    <row r="1039" spans="1:7" ht="22.5" x14ac:dyDescent="0.25">
      <c r="A1039" s="13">
        <v>13397</v>
      </c>
      <c r="B1039" s="14">
        <v>43424.48232638889</v>
      </c>
      <c r="C1039" s="13" t="s">
        <v>10</v>
      </c>
      <c r="D1039" s="13" t="str">
        <f t="shared" si="75"/>
        <v>MATERIALE PROTESICO</v>
      </c>
      <c r="E1039" s="13" t="str">
        <f t="shared" si="74"/>
        <v>JOHNSON &amp; JOHNSON MEDICAL SPA</v>
      </c>
      <c r="F1039" s="13" t="s">
        <v>14</v>
      </c>
      <c r="G1039" s="15">
        <v>712.12</v>
      </c>
    </row>
    <row r="1040" spans="1:7" ht="22.5" x14ac:dyDescent="0.25">
      <c r="A1040" s="13">
        <v>13398</v>
      </c>
      <c r="B1040" s="14">
        <v>43424.48232638889</v>
      </c>
      <c r="C1040" s="13" t="s">
        <v>10</v>
      </c>
      <c r="D1040" s="13" t="str">
        <f t="shared" si="75"/>
        <v>MATERIALE PROTESICO</v>
      </c>
      <c r="E1040" s="13" t="str">
        <f t="shared" si="74"/>
        <v>JOHNSON &amp; JOHNSON MEDICAL SPA</v>
      </c>
      <c r="F1040" s="13" t="s">
        <v>14</v>
      </c>
      <c r="G1040" s="15">
        <v>270.39999999999998</v>
      </c>
    </row>
    <row r="1041" spans="1:7" ht="22.5" x14ac:dyDescent="0.25">
      <c r="A1041" s="13">
        <v>13399</v>
      </c>
      <c r="B1041" s="14">
        <v>43424.48232638889</v>
      </c>
      <c r="C1041" s="13" t="s">
        <v>10</v>
      </c>
      <c r="D1041" s="13" t="str">
        <f t="shared" si="75"/>
        <v>MATERIALE PROTESICO</v>
      </c>
      <c r="E1041" s="13" t="str">
        <f t="shared" si="74"/>
        <v>JOHNSON &amp; JOHNSON MEDICAL SPA</v>
      </c>
      <c r="F1041" s="13" t="s">
        <v>14</v>
      </c>
      <c r="G1041" s="15">
        <v>610.91</v>
      </c>
    </row>
    <row r="1042" spans="1:7" ht="22.5" x14ac:dyDescent="0.25">
      <c r="A1042" s="13">
        <v>13400</v>
      </c>
      <c r="B1042" s="14">
        <v>43424.48232638889</v>
      </c>
      <c r="C1042" s="13" t="s">
        <v>10</v>
      </c>
      <c r="D1042" s="13" t="str">
        <f t="shared" si="75"/>
        <v>MATERIALE PROTESICO</v>
      </c>
      <c r="E1042" s="13" t="str">
        <f t="shared" si="74"/>
        <v>JOHNSON &amp; JOHNSON MEDICAL SPA</v>
      </c>
      <c r="F1042" s="13" t="s">
        <v>14</v>
      </c>
      <c r="G1042" s="15">
        <v>266.66000000000003</v>
      </c>
    </row>
    <row r="1043" spans="1:7" ht="22.5" x14ac:dyDescent="0.25">
      <c r="A1043" s="13">
        <v>13401</v>
      </c>
      <c r="B1043" s="14">
        <v>43424.48232638889</v>
      </c>
      <c r="C1043" s="13" t="s">
        <v>10</v>
      </c>
      <c r="D1043" s="13" t="str">
        <f t="shared" si="75"/>
        <v>MATERIALE PROTESICO</v>
      </c>
      <c r="E1043" s="13" t="str">
        <f t="shared" si="74"/>
        <v>JOHNSON &amp; JOHNSON MEDICAL SPA</v>
      </c>
      <c r="F1043" s="13" t="s">
        <v>14</v>
      </c>
      <c r="G1043" s="15">
        <v>266.66000000000003</v>
      </c>
    </row>
    <row r="1044" spans="1:7" ht="22.5" x14ac:dyDescent="0.25">
      <c r="A1044" s="13">
        <v>13402</v>
      </c>
      <c r="B1044" s="14">
        <v>43424.48232638889</v>
      </c>
      <c r="C1044" s="13" t="s">
        <v>10</v>
      </c>
      <c r="D1044" s="13" t="str">
        <f t="shared" si="75"/>
        <v>MATERIALE PROTESICO</v>
      </c>
      <c r="E1044" s="13" t="str">
        <f t="shared" si="74"/>
        <v>JOHNSON &amp; JOHNSON MEDICAL SPA</v>
      </c>
      <c r="F1044" s="13" t="s">
        <v>14</v>
      </c>
      <c r="G1044" s="15">
        <v>89.12</v>
      </c>
    </row>
    <row r="1045" spans="1:7" ht="22.5" x14ac:dyDescent="0.25">
      <c r="A1045" s="13">
        <v>13403</v>
      </c>
      <c r="B1045" s="14">
        <v>43424.48232638889</v>
      </c>
      <c r="C1045" s="13" t="s">
        <v>10</v>
      </c>
      <c r="D1045" s="13" t="str">
        <f t="shared" si="75"/>
        <v>MATERIALE PROTESICO</v>
      </c>
      <c r="E1045" s="13" t="str">
        <f t="shared" si="74"/>
        <v>JOHNSON &amp; JOHNSON MEDICAL SPA</v>
      </c>
      <c r="F1045" s="13" t="s">
        <v>14</v>
      </c>
      <c r="G1045" s="15">
        <v>3.88</v>
      </c>
    </row>
    <row r="1046" spans="1:7" ht="22.5" x14ac:dyDescent="0.25">
      <c r="A1046" s="13">
        <v>13404</v>
      </c>
      <c r="B1046" s="14">
        <v>43424.48232638889</v>
      </c>
      <c r="C1046" s="13" t="s">
        <v>10</v>
      </c>
      <c r="D1046" s="13" t="str">
        <f t="shared" si="75"/>
        <v>MATERIALE PROTESICO</v>
      </c>
      <c r="E1046" s="13" t="str">
        <f t="shared" si="74"/>
        <v>JOHNSON &amp; JOHNSON MEDICAL SPA</v>
      </c>
      <c r="F1046" s="13" t="s">
        <v>14</v>
      </c>
      <c r="G1046" s="15">
        <v>143.84</v>
      </c>
    </row>
    <row r="1047" spans="1:7" ht="22.5" x14ac:dyDescent="0.25">
      <c r="A1047" s="13">
        <v>13405</v>
      </c>
      <c r="B1047" s="14">
        <v>43424.48232638889</v>
      </c>
      <c r="C1047" s="13" t="s">
        <v>10</v>
      </c>
      <c r="D1047" s="13" t="str">
        <f t="shared" si="75"/>
        <v>MATERIALE PROTESICO</v>
      </c>
      <c r="E1047" s="13" t="str">
        <f t="shared" si="74"/>
        <v>JOHNSON &amp; JOHNSON MEDICAL SPA</v>
      </c>
      <c r="F1047" s="13" t="s">
        <v>14</v>
      </c>
      <c r="G1047" s="15">
        <v>132.6</v>
      </c>
    </row>
    <row r="1048" spans="1:7" ht="22.5" x14ac:dyDescent="0.25">
      <c r="A1048" s="13">
        <v>13406</v>
      </c>
      <c r="B1048" s="14">
        <v>43424.48232638889</v>
      </c>
      <c r="C1048" s="13" t="s">
        <v>10</v>
      </c>
      <c r="D1048" s="13" t="str">
        <f t="shared" si="75"/>
        <v>MATERIALE PROTESICO</v>
      </c>
      <c r="E1048" s="13" t="str">
        <f t="shared" si="74"/>
        <v>JOHNSON &amp; JOHNSON MEDICAL SPA</v>
      </c>
      <c r="F1048" s="13" t="s">
        <v>14</v>
      </c>
      <c r="G1048" s="15">
        <v>67.599999999999994</v>
      </c>
    </row>
    <row r="1049" spans="1:7" ht="22.5" x14ac:dyDescent="0.25">
      <c r="A1049" s="13">
        <v>13407</v>
      </c>
      <c r="B1049" s="14">
        <v>43424.48232638889</v>
      </c>
      <c r="C1049" s="13" t="s">
        <v>10</v>
      </c>
      <c r="D1049" s="13" t="str">
        <f>"NC RIC JOHNSON &amp; JOHNSON MEDICAL SPA"</f>
        <v>NC RIC JOHNSON &amp; JOHNSON MEDICAL SPA</v>
      </c>
      <c r="E1049" s="13" t="str">
        <f t="shared" si="74"/>
        <v>JOHNSON &amp; JOHNSON MEDICAL SPA</v>
      </c>
      <c r="F1049" s="13" t="s">
        <v>14</v>
      </c>
      <c r="G1049" s="15">
        <v>137.65</v>
      </c>
    </row>
    <row r="1050" spans="1:7" ht="22.5" x14ac:dyDescent="0.25">
      <c r="A1050" s="13">
        <v>13408</v>
      </c>
      <c r="B1050" s="14">
        <v>43424.48232638889</v>
      </c>
      <c r="C1050" s="13" t="s">
        <v>10</v>
      </c>
      <c r="D1050" s="13" t="str">
        <f>"NC RIC JOHNSON &amp; JOHNSON MEDICAL SPA"</f>
        <v>NC RIC JOHNSON &amp; JOHNSON MEDICAL SPA</v>
      </c>
      <c r="E1050" s="13" t="str">
        <f t="shared" si="74"/>
        <v>JOHNSON &amp; JOHNSON MEDICAL SPA</v>
      </c>
      <c r="F1050" s="13" t="s">
        <v>14</v>
      </c>
      <c r="G1050" s="15">
        <v>-4.45</v>
      </c>
    </row>
    <row r="1051" spans="1:7" ht="22.5" x14ac:dyDescent="0.25">
      <c r="A1051" s="13">
        <v>13409</v>
      </c>
      <c r="B1051" s="14">
        <v>43424.48232638889</v>
      </c>
      <c r="C1051" s="13" t="s">
        <v>10</v>
      </c>
      <c r="D1051" s="13" t="str">
        <f>"STRUMENTARIO CHIRURGICO (K, L)"</f>
        <v>STRUMENTARIO CHIRURGICO (K, L)</v>
      </c>
      <c r="E1051" s="13" t="str">
        <f t="shared" si="74"/>
        <v>JOHNSON &amp; JOHNSON MEDICAL SPA</v>
      </c>
      <c r="F1051" s="13" t="s">
        <v>14</v>
      </c>
      <c r="G1051" s="15">
        <v>1133.28</v>
      </c>
    </row>
    <row r="1052" spans="1:7" ht="22.5" x14ac:dyDescent="0.25">
      <c r="A1052" s="13">
        <v>13410</v>
      </c>
      <c r="B1052" s="14">
        <v>43424.48232638889</v>
      </c>
      <c r="C1052" s="13" t="s">
        <v>10</v>
      </c>
      <c r="D1052" s="13" t="str">
        <f>"STRUMENTARIO CHIRURGICO (K, L)"</f>
        <v>STRUMENTARIO CHIRURGICO (K, L)</v>
      </c>
      <c r="E1052" s="13" t="str">
        <f t="shared" si="74"/>
        <v>JOHNSON &amp; JOHNSON MEDICAL SPA</v>
      </c>
      <c r="F1052" s="13" t="s">
        <v>14</v>
      </c>
      <c r="G1052" s="15">
        <v>24.8</v>
      </c>
    </row>
    <row r="1053" spans="1:7" ht="22.5" x14ac:dyDescent="0.25">
      <c r="A1053" s="13">
        <v>13411</v>
      </c>
      <c r="B1053" s="14">
        <v>43424.613645833335</v>
      </c>
      <c r="C1053" s="13" t="s">
        <v>11</v>
      </c>
      <c r="D1053" s="13" t="str">
        <f>"CONTRIB.PREV.SU IND.ORG.DIR.E COLLEGIO"</f>
        <v>CONTRIB.PREV.SU IND.ORG.DIR.E COLLEGIO</v>
      </c>
      <c r="E1053" s="13" t="str">
        <f t="shared" ref="E1053:E1058" si="76">"CPDEL ANNO 2018"</f>
        <v>CPDEL ANNO 2018</v>
      </c>
      <c r="F1053" s="13" t="s">
        <v>18</v>
      </c>
      <c r="G1053" s="15">
        <v>45439.09</v>
      </c>
    </row>
    <row r="1054" spans="1:7" ht="33.75" x14ac:dyDescent="0.25">
      <c r="A1054" s="13">
        <v>13412</v>
      </c>
      <c r="B1054" s="14">
        <v>43424.613645833335</v>
      </c>
      <c r="C1054" s="13" t="s">
        <v>11</v>
      </c>
      <c r="D1054" s="13" t="str">
        <f>"CONTRIBUTI OBBLIGATORI PER IL PERSONALE A TEMPO DETERMINATO"</f>
        <v>CONTRIBUTI OBBLIGATORI PER IL PERSONALE A TEMPO DETERMINATO</v>
      </c>
      <c r="E1054" s="13" t="str">
        <f t="shared" si="76"/>
        <v>CPDEL ANNO 2018</v>
      </c>
      <c r="F1054" s="13" t="s">
        <v>18</v>
      </c>
      <c r="G1054" s="15">
        <v>91081.48</v>
      </c>
    </row>
    <row r="1055" spans="1:7" ht="33.75" x14ac:dyDescent="0.25">
      <c r="A1055" s="13">
        <v>13413</v>
      </c>
      <c r="B1055" s="14">
        <v>43424.613645833335</v>
      </c>
      <c r="C1055" s="13" t="s">
        <v>11</v>
      </c>
      <c r="D1055" s="13" t="str">
        <f>"CONTRIBUTI OBBLIGATORI PER IL PERSONALE A TEMPO INDETERMINATO"</f>
        <v>CONTRIBUTI OBBLIGATORI PER IL PERSONALE A TEMPO INDETERMINATO</v>
      </c>
      <c r="E1055" s="13" t="str">
        <f t="shared" si="76"/>
        <v>CPDEL ANNO 2018</v>
      </c>
      <c r="F1055" s="13" t="s">
        <v>18</v>
      </c>
      <c r="G1055" s="15">
        <v>241017.97</v>
      </c>
    </row>
    <row r="1056" spans="1:7" ht="33.75" x14ac:dyDescent="0.25">
      <c r="A1056" s="13">
        <v>13414</v>
      </c>
      <c r="B1056" s="14">
        <v>43424.613645833335</v>
      </c>
      <c r="C1056" s="13" t="s">
        <v>11</v>
      </c>
      <c r="D1056" s="13" t="str">
        <f>"RITENUTE ERARIALI SU INDENNITÀ A ORGANI ISTITUZIONALI E ALTRI COMPENSI"</f>
        <v>RITENUTE ERARIALI SU INDENNITÀ A ORGANI ISTITUZIONALI E ALTRI COMPENSI</v>
      </c>
      <c r="E1056" s="13" t="str">
        <f t="shared" si="76"/>
        <v>CPDEL ANNO 2018</v>
      </c>
      <c r="F1056" s="13" t="s">
        <v>18</v>
      </c>
      <c r="G1056" s="15">
        <v>43599.92</v>
      </c>
    </row>
    <row r="1057" spans="1:7" ht="33.75" x14ac:dyDescent="0.25">
      <c r="A1057" s="13">
        <v>13415</v>
      </c>
      <c r="B1057" s="14">
        <v>43424.613645833335</v>
      </c>
      <c r="C1057" s="13" t="s">
        <v>11</v>
      </c>
      <c r="D1057" s="13" t="str">
        <f>"RITENUTE PREVIDENZIALI E ASSISTENZIALI AL PERSONALE A TEMPO DETERMINATO"</f>
        <v>RITENUTE PREVIDENZIALI E ASSISTENZIALI AL PERSONALE A TEMPO DETERMINATO</v>
      </c>
      <c r="E1057" s="13" t="str">
        <f t="shared" si="76"/>
        <v>CPDEL ANNO 2018</v>
      </c>
      <c r="F1057" s="13" t="s">
        <v>18</v>
      </c>
      <c r="G1057" s="15">
        <v>60481.15</v>
      </c>
    </row>
    <row r="1058" spans="1:7" ht="33.75" x14ac:dyDescent="0.25">
      <c r="A1058" s="13">
        <v>13416</v>
      </c>
      <c r="B1058" s="14">
        <v>43424.613645833335</v>
      </c>
      <c r="C1058" s="13" t="s">
        <v>11</v>
      </c>
      <c r="D1058" s="13" t="str">
        <f>"RITENUTE PREVIDENZIALI E ASSISTENZIALI AL PERSONALE A TEMPO INDETERMINATO"</f>
        <v>RITENUTE PREVIDENZIALI E ASSISTENZIALI AL PERSONALE A TEMPO INDETERMINATO</v>
      </c>
      <c r="E1058" s="13" t="str">
        <f t="shared" si="76"/>
        <v>CPDEL ANNO 2018</v>
      </c>
      <c r="F1058" s="13" t="s">
        <v>18</v>
      </c>
      <c r="G1058" s="15">
        <v>205109.63</v>
      </c>
    </row>
    <row r="1059" spans="1:7" ht="33.75" x14ac:dyDescent="0.25">
      <c r="A1059" s="13">
        <v>13417</v>
      </c>
      <c r="B1059" s="14">
        <v>43424.613703703704</v>
      </c>
      <c r="C1059" s="13" t="s">
        <v>11</v>
      </c>
      <c r="D1059" s="13" t="str">
        <f>"CONTRIBUTI OBBLIGATORI PER IL PERSONALE A TEMPO DETERMINATO"</f>
        <v>CONTRIBUTI OBBLIGATORI PER IL PERSONALE A TEMPO DETERMINATO</v>
      </c>
      <c r="E1059" s="13" t="str">
        <f>"CPS ANNO 2018"</f>
        <v>CPS ANNO 2018</v>
      </c>
      <c r="F1059" s="13" t="s">
        <v>18</v>
      </c>
      <c r="G1059" s="15">
        <v>38740.620000000003</v>
      </c>
    </row>
    <row r="1060" spans="1:7" ht="33.75" x14ac:dyDescent="0.25">
      <c r="A1060" s="13">
        <v>13418</v>
      </c>
      <c r="B1060" s="14">
        <v>43424.613703703704</v>
      </c>
      <c r="C1060" s="13" t="s">
        <v>11</v>
      </c>
      <c r="D1060" s="13" t="str">
        <f>"CONTRIBUTI OBBLIGATORI PER IL PERSONALE A TEMPO INDETERMINATO"</f>
        <v>CONTRIBUTI OBBLIGATORI PER IL PERSONALE A TEMPO INDETERMINATO</v>
      </c>
      <c r="E1060" s="13" t="str">
        <f>"CPS ANNO 2018"</f>
        <v>CPS ANNO 2018</v>
      </c>
      <c r="F1060" s="13" t="s">
        <v>18</v>
      </c>
      <c r="G1060" s="15">
        <v>245873.32</v>
      </c>
    </row>
    <row r="1061" spans="1:7" ht="33.75" x14ac:dyDescent="0.25">
      <c r="A1061" s="13">
        <v>13419</v>
      </c>
      <c r="B1061" s="14">
        <v>43424.613703703704</v>
      </c>
      <c r="C1061" s="13" t="s">
        <v>11</v>
      </c>
      <c r="D1061" s="13" t="str">
        <f>"RITENUTE PREVIDENZIALI E ASSISTENZIALI AL PERSONALE A TEMPO DETERMINATO"</f>
        <v>RITENUTE PREVIDENZIALI E ASSISTENZIALI AL PERSONALE A TEMPO DETERMINATO</v>
      </c>
      <c r="E1061" s="13" t="str">
        <f>"CPS ANNO 2018"</f>
        <v>CPS ANNO 2018</v>
      </c>
      <c r="F1061" s="13" t="s">
        <v>18</v>
      </c>
      <c r="G1061" s="15">
        <v>35918.980000000003</v>
      </c>
    </row>
    <row r="1062" spans="1:7" ht="33.75" x14ac:dyDescent="0.25">
      <c r="A1062" s="13">
        <v>13420</v>
      </c>
      <c r="B1062" s="14">
        <v>43424.613703703704</v>
      </c>
      <c r="C1062" s="13" t="s">
        <v>11</v>
      </c>
      <c r="D1062" s="13" t="str">
        <f>"RITENUTE PREVIDENZIALI E ASSISTENZIALI AL PERSONALE A TEMPO INDETERMINATO"</f>
        <v>RITENUTE PREVIDENZIALI E ASSISTENZIALI AL PERSONALE A TEMPO INDETERMINATO</v>
      </c>
      <c r="E1062" s="13" t="str">
        <f>"CPS ANNO 2018"</f>
        <v>CPS ANNO 2018</v>
      </c>
      <c r="F1062" s="13" t="s">
        <v>18</v>
      </c>
      <c r="G1062" s="15">
        <v>96957.93</v>
      </c>
    </row>
    <row r="1063" spans="1:7" ht="33.75" x14ac:dyDescent="0.25">
      <c r="A1063" s="13">
        <v>13421</v>
      </c>
      <c r="B1063" s="14">
        <v>43424.61377314815</v>
      </c>
      <c r="C1063" s="13" t="s">
        <v>11</v>
      </c>
      <c r="D1063" s="13" t="str">
        <f>"CONTRIBUTI OBBLIGATORI PER IL PERSONALE A TEMPO INDETERMINATO"</f>
        <v>CONTRIBUTI OBBLIGATORI PER IL PERSONALE A TEMPO INDETERMINATO</v>
      </c>
      <c r="E1063" s="13" t="str">
        <f>"FONDO CREDITO CPS-CPDEL"</f>
        <v>FONDO CREDITO CPS-CPDEL</v>
      </c>
      <c r="F1063" s="13" t="s">
        <v>18</v>
      </c>
      <c r="G1063" s="15">
        <v>1190.25</v>
      </c>
    </row>
    <row r="1064" spans="1:7" ht="33.75" x14ac:dyDescent="0.25">
      <c r="A1064" s="13">
        <v>13422</v>
      </c>
      <c r="B1064" s="14">
        <v>43424.61377314815</v>
      </c>
      <c r="C1064" s="13" t="s">
        <v>11</v>
      </c>
      <c r="D1064" s="13" t="str">
        <f>"RITENUTE ERARIALI SU INDENNITÀ A ORGANI ISTITUZIONALI E ALTRI COMPENSI"</f>
        <v>RITENUTE ERARIALI SU INDENNITÀ A ORGANI ISTITUZIONALI E ALTRI COMPENSI</v>
      </c>
      <c r="E1064" s="13" t="str">
        <f>"FONDO CREDITO CPS-CPDEL"</f>
        <v>FONDO CREDITO CPS-CPDEL</v>
      </c>
      <c r="F1064" s="13" t="s">
        <v>18</v>
      </c>
      <c r="G1064" s="15">
        <v>1083.96</v>
      </c>
    </row>
    <row r="1065" spans="1:7" ht="33.75" x14ac:dyDescent="0.25">
      <c r="A1065" s="13">
        <v>13423</v>
      </c>
      <c r="B1065" s="14">
        <v>43424.61377314815</v>
      </c>
      <c r="C1065" s="13" t="s">
        <v>11</v>
      </c>
      <c r="D1065" s="13" t="str">
        <f>"RITENUTE PREVIDENZIALI E ASSISTENZIALI AL PERSONALE A TEMPO DETERMINATO"</f>
        <v>RITENUTE PREVIDENZIALI E ASSISTENZIALI AL PERSONALE A TEMPO DETERMINATO</v>
      </c>
      <c r="E1065" s="13" t="str">
        <f>"FONDO CREDITO CPS-CPDEL"</f>
        <v>FONDO CREDITO CPS-CPDEL</v>
      </c>
      <c r="F1065" s="13" t="s">
        <v>18</v>
      </c>
      <c r="G1065" s="15">
        <v>2893.96</v>
      </c>
    </row>
    <row r="1066" spans="1:7" ht="33.75" x14ac:dyDescent="0.25">
      <c r="A1066" s="13">
        <v>13424</v>
      </c>
      <c r="B1066" s="14">
        <v>43424.61377314815</v>
      </c>
      <c r="C1066" s="13" t="s">
        <v>11</v>
      </c>
      <c r="D1066" s="13" t="str">
        <f>"RITENUTE PREVIDENZIALI E ASSISTENZIALI AL PERSONALE A TEMPO INDETERMINATO"</f>
        <v>RITENUTE PREVIDENZIALI E ASSISTENZIALI AL PERSONALE A TEMPO INDETERMINATO</v>
      </c>
      <c r="E1066" s="13" t="str">
        <f>"FONDO CREDITO CPS-CPDEL"</f>
        <v>FONDO CREDITO CPS-CPDEL</v>
      </c>
      <c r="F1066" s="13" t="s">
        <v>18</v>
      </c>
      <c r="G1066" s="15">
        <v>6599.86</v>
      </c>
    </row>
    <row r="1067" spans="1:7" ht="22.5" x14ac:dyDescent="0.25">
      <c r="A1067" s="13">
        <v>13425</v>
      </c>
      <c r="B1067" s="14">
        <v>43424.613819444443</v>
      </c>
      <c r="C1067" s="13" t="s">
        <v>11</v>
      </c>
      <c r="D1067" s="13" t="str">
        <f>"CONTRIB.PREV.SU IND.ORG.DIR.E COLLEGIO"</f>
        <v>CONTRIB.PREV.SU IND.ORG.DIR.E COLLEGIO</v>
      </c>
      <c r="E1067" s="13" t="str">
        <f>"INADEL ANNO 2018"</f>
        <v>INADEL ANNO 2018</v>
      </c>
      <c r="F1067" s="13" t="s">
        <v>18</v>
      </c>
      <c r="G1067" s="15">
        <v>9555.06</v>
      </c>
    </row>
    <row r="1068" spans="1:7" ht="33.75" x14ac:dyDescent="0.25">
      <c r="A1068" s="13">
        <v>13426</v>
      </c>
      <c r="B1068" s="14">
        <v>43424.613819444443</v>
      </c>
      <c r="C1068" s="13" t="s">
        <v>11</v>
      </c>
      <c r="D1068" s="13" t="str">
        <f>"CONTRIBUTI OBBLIGATORI PER IL PERSONALE A TEMPO DETERMINATO"</f>
        <v>CONTRIBUTI OBBLIGATORI PER IL PERSONALE A TEMPO DETERMINATO</v>
      </c>
      <c r="E1068" s="13" t="str">
        <f>"INADEL ANNO 2018"</f>
        <v>INADEL ANNO 2018</v>
      </c>
      <c r="F1068" s="13" t="s">
        <v>18</v>
      </c>
      <c r="G1068" s="15">
        <v>20560.650000000001</v>
      </c>
    </row>
    <row r="1069" spans="1:7" ht="33.75" x14ac:dyDescent="0.25">
      <c r="A1069" s="13">
        <v>13427</v>
      </c>
      <c r="B1069" s="14">
        <v>43424.613819444443</v>
      </c>
      <c r="C1069" s="13" t="s">
        <v>11</v>
      </c>
      <c r="D1069" s="13" t="str">
        <f>"CONTRIBUTI OBBLIGATORI PER IL PERSONALE A TEMPO INDETERMINATO"</f>
        <v>CONTRIBUTI OBBLIGATORI PER IL PERSONALE A TEMPO INDETERMINATO</v>
      </c>
      <c r="E1069" s="13" t="str">
        <f>"INADEL ANNO 2018"</f>
        <v>INADEL ANNO 2018</v>
      </c>
      <c r="F1069" s="13" t="s">
        <v>18</v>
      </c>
      <c r="G1069" s="15">
        <v>77261.48</v>
      </c>
    </row>
    <row r="1070" spans="1:7" ht="33.75" x14ac:dyDescent="0.25">
      <c r="A1070" s="13">
        <v>13428</v>
      </c>
      <c r="B1070" s="14">
        <v>43424.613819444443</v>
      </c>
      <c r="C1070" s="13" t="s">
        <v>11</v>
      </c>
      <c r="D1070" s="13" t="str">
        <f>"RITENUTE ERARIALI SU INDENNITÀ A ORGANI ISTITUZIONALI E ALTRI COMPENSI"</f>
        <v>RITENUTE ERARIALI SU INDENNITÀ A ORGANI ISTITUZIONALI E ALTRI COMPENSI</v>
      </c>
      <c r="E1070" s="13" t="str">
        <f>"INADEL ANNO 2018"</f>
        <v>INADEL ANNO 2018</v>
      </c>
      <c r="F1070" s="13" t="s">
        <v>18</v>
      </c>
      <c r="G1070" s="15">
        <v>9501.76</v>
      </c>
    </row>
    <row r="1071" spans="1:7" ht="33.75" x14ac:dyDescent="0.25">
      <c r="A1071" s="13">
        <v>13429</v>
      </c>
      <c r="B1071" s="14">
        <v>43424.613819444443</v>
      </c>
      <c r="C1071" s="13" t="s">
        <v>11</v>
      </c>
      <c r="D1071" s="13" t="str">
        <f>"RITENUTE PREVIDENZIALI E ASSISTENZIALI AL PERSONALE A TEMPO INDETERMINATO"</f>
        <v>RITENUTE PREVIDENZIALI E ASSISTENZIALI AL PERSONALE A TEMPO INDETERMINATO</v>
      </c>
      <c r="E1071" s="13" t="str">
        <f>"INADEL ANNO 2018"</f>
        <v>INADEL ANNO 2018</v>
      </c>
      <c r="F1071" s="13" t="s">
        <v>18</v>
      </c>
      <c r="G1071" s="15">
        <v>33265.519999999997</v>
      </c>
    </row>
    <row r="1072" spans="1:7" ht="22.5" x14ac:dyDescent="0.25">
      <c r="A1072" s="13">
        <v>13430</v>
      </c>
      <c r="B1072" s="16">
        <v>43425</v>
      </c>
      <c r="C1072" s="13" t="s">
        <v>11</v>
      </c>
      <c r="D1072" s="13" t="str">
        <f>"FONDO RISCHI"</f>
        <v>FONDO RISCHI</v>
      </c>
      <c r="E1072" s="13" t="str">
        <f>"ZEMA ANTONINO"</f>
        <v>ZEMA ANTONINO</v>
      </c>
      <c r="F1072" s="13" t="str">
        <f>"Risarcimento danni sinistro"</f>
        <v>Risarcimento danni sinistro</v>
      </c>
      <c r="G1072" s="15">
        <v>1400</v>
      </c>
    </row>
    <row r="1073" spans="1:7" ht="33.75" x14ac:dyDescent="0.25">
      <c r="A1073" s="13">
        <v>13431</v>
      </c>
      <c r="B1073" s="14">
        <v>43425.548263888886</v>
      </c>
      <c r="C1073" s="13" t="s">
        <v>10</v>
      </c>
      <c r="D1073" s="13" t="str">
        <f>"PRESIDI MEDICO-CHIRURGICI GENERICI E AUSILI TECNICI PER DISABILI M"</f>
        <v>PRESIDI MEDICO-CHIRURGICI GENERICI E AUSILI TECNICI PER DISABILI M</v>
      </c>
      <c r="E1073" s="13" t="str">
        <f>"3M ITALIA SRL"</f>
        <v>3M ITALIA SRL</v>
      </c>
      <c r="F1073" s="13" t="s">
        <v>14</v>
      </c>
      <c r="G1073" s="15">
        <v>128</v>
      </c>
    </row>
    <row r="1074" spans="1:7" ht="33.75" x14ac:dyDescent="0.25">
      <c r="A1074" s="13">
        <v>13432</v>
      </c>
      <c r="B1074" s="14">
        <v>43425.548263888886</v>
      </c>
      <c r="C1074" s="13" t="s">
        <v>10</v>
      </c>
      <c r="D1074" s="13" t="str">
        <f>"PRESIDI MEDICO-CHIRURGICI GENERICI E AUSILI TECNICI PER DISABILI T"</f>
        <v>PRESIDI MEDICO-CHIRURGICI GENERICI E AUSILI TECNICI PER DISABILI T</v>
      </c>
      <c r="E1074" s="13" t="str">
        <f>"3 M. C. SPA"</f>
        <v>3 M. C. SPA</v>
      </c>
      <c r="F1074" s="13" t="s">
        <v>14</v>
      </c>
      <c r="G1074" s="15">
        <v>1803.2</v>
      </c>
    </row>
    <row r="1075" spans="1:7" ht="22.5" x14ac:dyDescent="0.25">
      <c r="A1075" s="13">
        <v>13433</v>
      </c>
      <c r="B1075" s="14">
        <v>43425.548263888886</v>
      </c>
      <c r="C1075" s="13" t="s">
        <v>10</v>
      </c>
      <c r="D1075" s="13" t="str">
        <f>"PRODOTTI FARMACEUTICI CON AIC"</f>
        <v>PRODOTTI FARMACEUTICI CON AIC</v>
      </c>
      <c r="E1075" s="13" t="str">
        <f>"A.C.R.A.F. SPA a Socio Unico"</f>
        <v>A.C.R.A.F. SPA a Socio Unico</v>
      </c>
      <c r="F1075" s="13" t="s">
        <v>14</v>
      </c>
      <c r="G1075" s="15">
        <v>724.79</v>
      </c>
    </row>
    <row r="1076" spans="1:7" ht="22.5" x14ac:dyDescent="0.25">
      <c r="A1076" s="13">
        <v>13434</v>
      </c>
      <c r="B1076" s="14">
        <v>43425.548263888886</v>
      </c>
      <c r="C1076" s="13" t="s">
        <v>10</v>
      </c>
      <c r="D1076" s="13" t="str">
        <f>"SERVIZIO LAVANDERIA NON APPALTATO"</f>
        <v>SERVIZIO LAVANDERIA NON APPALTATO</v>
      </c>
      <c r="E1076" s="13" t="str">
        <f>"A.T.A. IMBOTTITI"</f>
        <v>A.T.A. IMBOTTITI</v>
      </c>
      <c r="F1076" s="13" t="s">
        <v>14</v>
      </c>
      <c r="G1076" s="15">
        <v>52</v>
      </c>
    </row>
    <row r="1077" spans="1:7" ht="22.5" x14ac:dyDescent="0.25">
      <c r="A1077" s="13">
        <v>13435</v>
      </c>
      <c r="B1077" s="14">
        <v>43425.548275462963</v>
      </c>
      <c r="C1077" s="13" t="s">
        <v>10</v>
      </c>
      <c r="D1077" s="13" t="str">
        <f>"ALTRI SERVIZI S.T."</f>
        <v>ALTRI SERVIZI S.T.</v>
      </c>
      <c r="E1077" s="13" t="str">
        <f>"ARTEXE SPA"</f>
        <v>ARTEXE SPA</v>
      </c>
      <c r="F1077" s="13" t="str">
        <f>"ALTRE SPESE PER SERV.NON SANITARI"</f>
        <v>ALTRE SPESE PER SERV.NON SANITARI</v>
      </c>
      <c r="G1077" s="15">
        <v>231.3</v>
      </c>
    </row>
    <row r="1078" spans="1:7" ht="22.5" x14ac:dyDescent="0.25">
      <c r="A1078" s="13">
        <v>13436</v>
      </c>
      <c r="B1078" s="14">
        <v>43425.548275462963</v>
      </c>
      <c r="C1078" s="13" t="s">
        <v>10</v>
      </c>
      <c r="D1078" s="13" t="str">
        <f>"ALTRO MATERIALE SANITARIO (SENZA CND)"</f>
        <v>ALTRO MATERIALE SANITARIO (SENZA CND)</v>
      </c>
      <c r="E1078" s="13" t="str">
        <f>"BAYER SPA Societa Unipersonale"</f>
        <v>BAYER SPA Societa Unipersonale</v>
      </c>
      <c r="F1078" s="13" t="s">
        <v>16</v>
      </c>
      <c r="G1078" s="15">
        <v>297.8</v>
      </c>
    </row>
    <row r="1079" spans="1:7" ht="22.5" x14ac:dyDescent="0.25">
      <c r="A1079" s="13">
        <v>13437</v>
      </c>
      <c r="B1079" s="14">
        <v>43425.548275462963</v>
      </c>
      <c r="C1079" s="13" t="s">
        <v>10</v>
      </c>
      <c r="D1079" s="13" t="str">
        <f>"DISPOSITIVI PER APPARATO CARDIOCIRCOLATORIO (C)"</f>
        <v>DISPOSITIVI PER APPARATO CARDIOCIRCOLATORIO (C)</v>
      </c>
      <c r="E1079" s="13" t="str">
        <f>"AMBU SRL"</f>
        <v>AMBU SRL</v>
      </c>
      <c r="F1079" s="13" t="s">
        <v>14</v>
      </c>
      <c r="G1079" s="15">
        <v>870</v>
      </c>
    </row>
    <row r="1080" spans="1:7" ht="22.5" x14ac:dyDescent="0.25">
      <c r="A1080" s="13">
        <v>13438</v>
      </c>
      <c r="B1080" s="14">
        <v>43425.548275462963</v>
      </c>
      <c r="C1080" s="13" t="s">
        <v>10</v>
      </c>
      <c r="D1080" s="13" t="str">
        <f>"FARMACI FILE F"</f>
        <v>FARMACI FILE F</v>
      </c>
      <c r="E1080" s="13" t="str">
        <f>"ACCORD HEALTHCARE ITALIA SRL"</f>
        <v>ACCORD HEALTHCARE ITALIA SRL</v>
      </c>
      <c r="F1080" s="13" t="s">
        <v>14</v>
      </c>
      <c r="G1080" s="15">
        <v>477.6</v>
      </c>
    </row>
    <row r="1081" spans="1:7" ht="22.5" x14ac:dyDescent="0.25">
      <c r="A1081" s="13">
        <v>13439</v>
      </c>
      <c r="B1081" s="14">
        <v>43425.548275462963</v>
      </c>
      <c r="C1081" s="13" t="s">
        <v>10</v>
      </c>
      <c r="D1081" s="13" t="str">
        <f>"MATERIALE PROTESICO"</f>
        <v>MATERIALE PROTESICO</v>
      </c>
      <c r="E1081" s="13" t="str">
        <f>"ARTHREX ITALIA SRL"</f>
        <v>ARTHREX ITALIA SRL</v>
      </c>
      <c r="F1081" s="13" t="s">
        <v>15</v>
      </c>
      <c r="G1081" s="15">
        <v>393.12</v>
      </c>
    </row>
    <row r="1082" spans="1:7" ht="33.75" x14ac:dyDescent="0.25">
      <c r="A1082" s="13">
        <v>13440</v>
      </c>
      <c r="B1082" s="14">
        <v>43425.548275462963</v>
      </c>
      <c r="C1082" s="13" t="s">
        <v>10</v>
      </c>
      <c r="D1082" s="13" t="str">
        <f>"PRESIDI MEDICO-CHIRURGICI GENERICI E AUSILI TECNICI PER DISABILI M"</f>
        <v>PRESIDI MEDICO-CHIRURGICI GENERICI E AUSILI TECNICI PER DISABILI M</v>
      </c>
      <c r="E1082" s="13" t="str">
        <f>"BAXTER SPA"</f>
        <v>BAXTER SPA</v>
      </c>
      <c r="F1082" s="13" t="s">
        <v>14</v>
      </c>
      <c r="G1082" s="15">
        <v>2016</v>
      </c>
    </row>
    <row r="1083" spans="1:7" ht="33.75" x14ac:dyDescent="0.25">
      <c r="A1083" s="13">
        <v>13441</v>
      </c>
      <c r="B1083" s="14">
        <v>43425.548275462963</v>
      </c>
      <c r="C1083" s="13" t="s">
        <v>10</v>
      </c>
      <c r="D1083" s="13" t="str">
        <f>"PRESIDI MEDICO-CHIRURGICI GENERICI E AUSILI TECNICI PER DISABILI M"</f>
        <v>PRESIDI MEDICO-CHIRURGICI GENERICI E AUSILI TECNICI PER DISABILI M</v>
      </c>
      <c r="E1083" s="13" t="str">
        <f>"BAXTER SPA"</f>
        <v>BAXTER SPA</v>
      </c>
      <c r="F1083" s="13" t="s">
        <v>14</v>
      </c>
      <c r="G1083" s="15">
        <v>2016</v>
      </c>
    </row>
    <row r="1084" spans="1:7" ht="22.5" x14ac:dyDescent="0.25">
      <c r="A1084" s="13">
        <v>13442</v>
      </c>
      <c r="B1084" s="14">
        <v>43425.548275462963</v>
      </c>
      <c r="C1084" s="13" t="s">
        <v>10</v>
      </c>
      <c r="D1084" s="13" t="str">
        <f>"PRESIDI MEDICO-CHIRURGICI SPECIALISTICI N"</f>
        <v>PRESIDI MEDICO-CHIRURGICI SPECIALISTICI N</v>
      </c>
      <c r="E1084" s="13" t="str">
        <f>"AMBU SRL"</f>
        <v>AMBU SRL</v>
      </c>
      <c r="F1084" s="13" t="s">
        <v>14</v>
      </c>
      <c r="G1084" s="15">
        <v>1400.9</v>
      </c>
    </row>
    <row r="1085" spans="1:7" ht="22.5" x14ac:dyDescent="0.25">
      <c r="A1085" s="13">
        <v>13443</v>
      </c>
      <c r="B1085" s="14">
        <v>43425.548275462963</v>
      </c>
      <c r="C1085" s="13" t="s">
        <v>10</v>
      </c>
      <c r="D1085" s="13" t="str">
        <f>"PRESIDI MEDICO-CHIRURGICI SPECIALISTICI R"</f>
        <v>PRESIDI MEDICO-CHIRURGICI SPECIALISTICI R</v>
      </c>
      <c r="E1085" s="13" t="str">
        <f>"AMBU SRL"</f>
        <v>AMBU SRL</v>
      </c>
      <c r="F1085" s="13" t="s">
        <v>14</v>
      </c>
      <c r="G1085" s="15">
        <v>65</v>
      </c>
    </row>
    <row r="1086" spans="1:7" ht="22.5" x14ac:dyDescent="0.25">
      <c r="A1086" s="13">
        <v>13444</v>
      </c>
      <c r="B1086" s="14">
        <v>43425.548275462963</v>
      </c>
      <c r="C1086" s="13" t="s">
        <v>10</v>
      </c>
      <c r="D1086" s="13" t="str">
        <f>"PRODOTTI FARMACEUTICI CON AIC"</f>
        <v>PRODOTTI FARMACEUTICI CON AIC</v>
      </c>
      <c r="E1086" s="13" t="str">
        <f>"AVAS PHARMACEUTICALS SRL"</f>
        <v>AVAS PHARMACEUTICALS SRL</v>
      </c>
      <c r="F1086" s="13" t="s">
        <v>14</v>
      </c>
      <c r="G1086" s="15">
        <v>35.72</v>
      </c>
    </row>
    <row r="1087" spans="1:7" ht="22.5" x14ac:dyDescent="0.25">
      <c r="A1087" s="13">
        <v>13445</v>
      </c>
      <c r="B1087" s="14">
        <v>43425.548275462963</v>
      </c>
      <c r="C1087" s="13" t="s">
        <v>10</v>
      </c>
      <c r="D1087" s="13" t="str">
        <f>"PRODOTTI FARMACEUTICI CON AIC"</f>
        <v>PRODOTTI FARMACEUTICI CON AIC</v>
      </c>
      <c r="E1087" s="13" t="str">
        <f>"BAYER SPA Societa Unipersonale"</f>
        <v>BAYER SPA Societa Unipersonale</v>
      </c>
      <c r="F1087" s="13" t="s">
        <v>14</v>
      </c>
      <c r="G1087" s="15">
        <v>513.82000000000005</v>
      </c>
    </row>
    <row r="1088" spans="1:7" ht="22.5" x14ac:dyDescent="0.25">
      <c r="A1088" s="13">
        <v>13446</v>
      </c>
      <c r="B1088" s="14">
        <v>43425.548275462963</v>
      </c>
      <c r="C1088" s="13" t="s">
        <v>10</v>
      </c>
      <c r="D1088" s="13" t="str">
        <f>"SERVIZIO LAVANDERIA NON APPALTATO"</f>
        <v>SERVIZIO LAVANDERIA NON APPALTATO</v>
      </c>
      <c r="E1088" s="13" t="str">
        <f>"A.T.A. IMBOTTITI"</f>
        <v>A.T.A. IMBOTTITI</v>
      </c>
      <c r="F1088" s="13" t="s">
        <v>14</v>
      </c>
      <c r="G1088" s="15">
        <v>449.6</v>
      </c>
    </row>
    <row r="1089" spans="1:7" ht="22.5" x14ac:dyDescent="0.25">
      <c r="A1089" s="13">
        <v>13447</v>
      </c>
      <c r="B1089" s="14">
        <v>43425.548275462963</v>
      </c>
      <c r="C1089" s="13" t="s">
        <v>10</v>
      </c>
      <c r="D1089" s="13" t="str">
        <f>"SERVIZIO LAVANDERIA NON APPALTATO"</f>
        <v>SERVIZIO LAVANDERIA NON APPALTATO</v>
      </c>
      <c r="E1089" s="13" t="str">
        <f>"A.T.A. IMBOTTITI"</f>
        <v>A.T.A. IMBOTTITI</v>
      </c>
      <c r="F1089" s="13" t="s">
        <v>14</v>
      </c>
      <c r="G1089" s="15">
        <v>740.81</v>
      </c>
    </row>
    <row r="1090" spans="1:7" ht="22.5" x14ac:dyDescent="0.25">
      <c r="A1090" s="13">
        <v>13448</v>
      </c>
      <c r="B1090" s="14">
        <v>43425.548275462963</v>
      </c>
      <c r="C1090" s="13" t="s">
        <v>10</v>
      </c>
      <c r="D1090" s="13" t="str">
        <f>"SERVIZIO LAVANDERIA NON APPALTATO"</f>
        <v>SERVIZIO LAVANDERIA NON APPALTATO</v>
      </c>
      <c r="E1090" s="13" t="str">
        <f>"A.T.A. IMBOTTITI"</f>
        <v>A.T.A. IMBOTTITI</v>
      </c>
      <c r="F1090" s="13" t="s">
        <v>14</v>
      </c>
      <c r="G1090" s="15">
        <v>740.81</v>
      </c>
    </row>
    <row r="1091" spans="1:7" ht="33.75" x14ac:dyDescent="0.25">
      <c r="A1091" s="13">
        <v>13449</v>
      </c>
      <c r="B1091" s="14">
        <v>43425.54828703704</v>
      </c>
      <c r="C1091" s="13" t="s">
        <v>10</v>
      </c>
      <c r="D1091" s="13" t="str">
        <f>"DISINFETTANTI, PRODOTTI PER STERILIZZAZIONE E DISPOSITIVI VARI V"</f>
        <v>DISINFETTANTI, PRODOTTI PER STERILIZZAZIONE E DISPOSITIVI VARI V</v>
      </c>
      <c r="E1091" s="13" t="str">
        <f>"CEA SPA"</f>
        <v>CEA SPA</v>
      </c>
      <c r="F1091" s="13" t="s">
        <v>14</v>
      </c>
      <c r="G1091" s="15">
        <v>492.26</v>
      </c>
    </row>
    <row r="1092" spans="1:7" ht="22.5" x14ac:dyDescent="0.25">
      <c r="A1092" s="13">
        <v>13450</v>
      </c>
      <c r="B1092" s="14">
        <v>43425.54828703704</v>
      </c>
      <c r="C1092" s="13" t="s">
        <v>10</v>
      </c>
      <c r="D1092" s="13" t="str">
        <f>"FARMACI FILE F"</f>
        <v>FARMACI FILE F</v>
      </c>
      <c r="E1092" s="13" t="str">
        <f>"CELGENE SRL"</f>
        <v>CELGENE SRL</v>
      </c>
      <c r="F1092" s="13" t="s">
        <v>14</v>
      </c>
      <c r="G1092" s="15">
        <v>3456.96</v>
      </c>
    </row>
    <row r="1093" spans="1:7" ht="22.5" x14ac:dyDescent="0.25">
      <c r="A1093" s="13">
        <v>13451</v>
      </c>
      <c r="B1093" s="14">
        <v>43425.54828703704</v>
      </c>
      <c r="C1093" s="13" t="s">
        <v>10</v>
      </c>
      <c r="D1093" s="13" t="str">
        <f>"MATERIALE DIAGNOSTICO (W)"</f>
        <v>MATERIALE DIAGNOSTICO (W)</v>
      </c>
      <c r="E1093" s="13" t="str">
        <f>"BECTON DICKINSON ITALIA SPA a Socio Unico"</f>
        <v>BECTON DICKINSON ITALIA SPA a Socio Unico</v>
      </c>
      <c r="F1093" s="13" t="s">
        <v>14</v>
      </c>
      <c r="G1093" s="15">
        <v>832.5</v>
      </c>
    </row>
    <row r="1094" spans="1:7" ht="22.5" x14ac:dyDescent="0.25">
      <c r="A1094" s="13">
        <v>13452</v>
      </c>
      <c r="B1094" s="14">
        <v>43425.54828703704</v>
      </c>
      <c r="C1094" s="13" t="s">
        <v>10</v>
      </c>
      <c r="D1094" s="13" t="str">
        <f>"MATERIALE DIAGNOSTICO (W)"</f>
        <v>MATERIALE DIAGNOSTICO (W)</v>
      </c>
      <c r="E1094" s="13" t="str">
        <f>"BIO - RAD LABORATORIES SRL"</f>
        <v>BIO - RAD LABORATORIES SRL</v>
      </c>
      <c r="F1094" s="13" t="s">
        <v>14</v>
      </c>
      <c r="G1094" s="15">
        <v>402.6</v>
      </c>
    </row>
    <row r="1095" spans="1:7" ht="22.5" x14ac:dyDescent="0.25">
      <c r="A1095" s="13">
        <v>13453</v>
      </c>
      <c r="B1095" s="14">
        <v>43425.54828703704</v>
      </c>
      <c r="C1095" s="13" t="s">
        <v>10</v>
      </c>
      <c r="D1095" s="13" t="str">
        <f>"MATERIALE PROTESICO"</f>
        <v>MATERIALE PROTESICO</v>
      </c>
      <c r="E1095" s="13" t="str">
        <f>"CONMED ITALIA SRL con Socio Unico"</f>
        <v>CONMED ITALIA SRL con Socio Unico</v>
      </c>
      <c r="F1095" s="13" t="s">
        <v>14</v>
      </c>
      <c r="G1095" s="15">
        <v>874</v>
      </c>
    </row>
    <row r="1096" spans="1:7" ht="22.5" x14ac:dyDescent="0.25">
      <c r="A1096" s="13">
        <v>13454</v>
      </c>
      <c r="B1096" s="14">
        <v>43425.54828703704</v>
      </c>
      <c r="C1096" s="13" t="s">
        <v>10</v>
      </c>
      <c r="D1096" s="13" t="str">
        <f>"MATERIALE PROTESICO"</f>
        <v>MATERIALE PROTESICO</v>
      </c>
      <c r="E1096" s="13" t="str">
        <f>"CONMED ITALIA SRL con Socio Unico"</f>
        <v>CONMED ITALIA SRL con Socio Unico</v>
      </c>
      <c r="F1096" s="13" t="s">
        <v>14</v>
      </c>
      <c r="G1096" s="15">
        <v>389.5</v>
      </c>
    </row>
    <row r="1097" spans="1:7" ht="22.5" x14ac:dyDescent="0.25">
      <c r="A1097" s="13">
        <v>13455</v>
      </c>
      <c r="B1097" s="14">
        <v>43425.54828703704</v>
      </c>
      <c r="C1097" s="13" t="s">
        <v>10</v>
      </c>
      <c r="D1097" s="13" t="str">
        <f>"MATERIALE PROTESICO"</f>
        <v>MATERIALE PROTESICO</v>
      </c>
      <c r="E1097" s="13" t="str">
        <f>"CONMED ITALIA SRL con Socio Unico"</f>
        <v>CONMED ITALIA SRL con Socio Unico</v>
      </c>
      <c r="F1097" s="13" t="s">
        <v>14</v>
      </c>
      <c r="G1097" s="15">
        <v>745.75</v>
      </c>
    </row>
    <row r="1098" spans="1:7" ht="22.5" x14ac:dyDescent="0.25">
      <c r="A1098" s="13">
        <v>13456</v>
      </c>
      <c r="B1098" s="14">
        <v>43425.54828703704</v>
      </c>
      <c r="C1098" s="13" t="s">
        <v>10</v>
      </c>
      <c r="D1098" s="13" t="str">
        <f>"MATERIALE PROTESICO"</f>
        <v>MATERIALE PROTESICO</v>
      </c>
      <c r="E1098" s="13" t="str">
        <f>"CONMED ITALIA SRL con Socio Unico"</f>
        <v>CONMED ITALIA SRL con Socio Unico</v>
      </c>
      <c r="F1098" s="13" t="s">
        <v>14</v>
      </c>
      <c r="G1098" s="15">
        <v>308.75</v>
      </c>
    </row>
    <row r="1099" spans="1:7" ht="33.75" x14ac:dyDescent="0.25">
      <c r="A1099" s="13">
        <v>13457</v>
      </c>
      <c r="B1099" s="14">
        <v>43425.54828703704</v>
      </c>
      <c r="C1099" s="13" t="s">
        <v>10</v>
      </c>
      <c r="D1099" s="13" t="str">
        <f>"PRESIDI MEDICO-CHIRURGICI GENERICI E AUSILI TECNICI PER DISABILI M"</f>
        <v>PRESIDI MEDICO-CHIRURGICI GENERICI E AUSILI TECNICI PER DISABILI M</v>
      </c>
      <c r="E1099" s="13" t="str">
        <f>"BETATEX SPA"</f>
        <v>BETATEX SPA</v>
      </c>
      <c r="F1099" s="13" t="s">
        <v>14</v>
      </c>
      <c r="G1099" s="15">
        <v>912</v>
      </c>
    </row>
    <row r="1100" spans="1:7" ht="33.75" x14ac:dyDescent="0.25">
      <c r="A1100" s="13">
        <v>13458</v>
      </c>
      <c r="B1100" s="14">
        <v>43425.54828703704</v>
      </c>
      <c r="C1100" s="13" t="s">
        <v>10</v>
      </c>
      <c r="D1100" s="13" t="str">
        <f>"PRESIDI MEDICO-CHIRURGICI GENERICI E AUSILI TECNICI PER DISABILI M"</f>
        <v>PRESIDI MEDICO-CHIRURGICI GENERICI E AUSILI TECNICI PER DISABILI M</v>
      </c>
      <c r="E1100" s="13" t="str">
        <f>"BSN MEDICAL SRL Soc. con Socio Unico"</f>
        <v>BSN MEDICAL SRL Soc. con Socio Unico</v>
      </c>
      <c r="F1100" s="13" t="s">
        <v>14</v>
      </c>
      <c r="G1100" s="15">
        <v>1290</v>
      </c>
    </row>
    <row r="1101" spans="1:7" ht="33.75" x14ac:dyDescent="0.25">
      <c r="A1101" s="13">
        <v>13459</v>
      </c>
      <c r="B1101" s="14">
        <v>43425.54828703704</v>
      </c>
      <c r="C1101" s="13" t="s">
        <v>10</v>
      </c>
      <c r="D1101" s="13" t="str">
        <f>"PRESIDI MEDICO-CHIRURGICI GENERICI E AUSILI TECNICI PER DISABILI M"</f>
        <v>PRESIDI MEDICO-CHIRURGICI GENERICI E AUSILI TECNICI PER DISABILI M</v>
      </c>
      <c r="E1101" s="13" t="str">
        <f>"BSN MEDICAL SRL Soc. con Socio Unico"</f>
        <v>BSN MEDICAL SRL Soc. con Socio Unico</v>
      </c>
      <c r="F1101" s="13" t="s">
        <v>14</v>
      </c>
      <c r="G1101" s="15">
        <v>114</v>
      </c>
    </row>
    <row r="1102" spans="1:7" ht="33.75" x14ac:dyDescent="0.25">
      <c r="A1102" s="13">
        <v>13460</v>
      </c>
      <c r="B1102" s="14">
        <v>43425.54828703704</v>
      </c>
      <c r="C1102" s="13" t="s">
        <v>10</v>
      </c>
      <c r="D1102" s="13" t="str">
        <f t="shared" ref="D1102:D1107" si="77">"PRESIDI MEDICO-CHIRURGICI GENERICI E AUSILI TECNICI PER DISABILI T"</f>
        <v>PRESIDI MEDICO-CHIRURGICI GENERICI E AUSILI TECNICI PER DISABILI T</v>
      </c>
      <c r="E1102" s="13" t="str">
        <f t="shared" ref="E1102:E1107" si="78">"BETATEX SPA"</f>
        <v>BETATEX SPA</v>
      </c>
      <c r="F1102" s="13" t="s">
        <v>14</v>
      </c>
      <c r="G1102" s="15">
        <v>1263.6199999999999</v>
      </c>
    </row>
    <row r="1103" spans="1:7" ht="33.75" x14ac:dyDescent="0.25">
      <c r="A1103" s="13">
        <v>13461</v>
      </c>
      <c r="B1103" s="14">
        <v>43425.54828703704</v>
      </c>
      <c r="C1103" s="13" t="s">
        <v>10</v>
      </c>
      <c r="D1103" s="13" t="str">
        <f t="shared" si="77"/>
        <v>PRESIDI MEDICO-CHIRURGICI GENERICI E AUSILI TECNICI PER DISABILI T</v>
      </c>
      <c r="E1103" s="13" t="str">
        <f t="shared" si="78"/>
        <v>BETATEX SPA</v>
      </c>
      <c r="F1103" s="13" t="s">
        <v>14</v>
      </c>
      <c r="G1103" s="15">
        <v>4694.5</v>
      </c>
    </row>
    <row r="1104" spans="1:7" ht="33.75" x14ac:dyDescent="0.25">
      <c r="A1104" s="13">
        <v>13462</v>
      </c>
      <c r="B1104" s="14">
        <v>43425.54828703704</v>
      </c>
      <c r="C1104" s="13" t="s">
        <v>10</v>
      </c>
      <c r="D1104" s="13" t="str">
        <f t="shared" si="77"/>
        <v>PRESIDI MEDICO-CHIRURGICI GENERICI E AUSILI TECNICI PER DISABILI T</v>
      </c>
      <c r="E1104" s="13" t="str">
        <f t="shared" si="78"/>
        <v>BETATEX SPA</v>
      </c>
      <c r="F1104" s="13" t="s">
        <v>14</v>
      </c>
      <c r="G1104" s="15">
        <v>2601.6</v>
      </c>
    </row>
    <row r="1105" spans="1:7" ht="33.75" x14ac:dyDescent="0.25">
      <c r="A1105" s="13">
        <v>13463</v>
      </c>
      <c r="B1105" s="14">
        <v>43425.54828703704</v>
      </c>
      <c r="C1105" s="13" t="s">
        <v>10</v>
      </c>
      <c r="D1105" s="13" t="str">
        <f t="shared" si="77"/>
        <v>PRESIDI MEDICO-CHIRURGICI GENERICI E AUSILI TECNICI PER DISABILI T</v>
      </c>
      <c r="E1105" s="13" t="str">
        <f t="shared" si="78"/>
        <v>BETATEX SPA</v>
      </c>
      <c r="F1105" s="13" t="s">
        <v>14</v>
      </c>
      <c r="G1105" s="15">
        <v>1603.3</v>
      </c>
    </row>
    <row r="1106" spans="1:7" ht="33.75" x14ac:dyDescent="0.25">
      <c r="A1106" s="13">
        <v>13464</v>
      </c>
      <c r="B1106" s="14">
        <v>43425.54828703704</v>
      </c>
      <c r="C1106" s="13" t="s">
        <v>10</v>
      </c>
      <c r="D1106" s="13" t="str">
        <f t="shared" si="77"/>
        <v>PRESIDI MEDICO-CHIRURGICI GENERICI E AUSILI TECNICI PER DISABILI T</v>
      </c>
      <c r="E1106" s="13" t="str">
        <f t="shared" si="78"/>
        <v>BETATEX SPA</v>
      </c>
      <c r="F1106" s="13" t="s">
        <v>14</v>
      </c>
      <c r="G1106" s="15">
        <v>9472.32</v>
      </c>
    </row>
    <row r="1107" spans="1:7" ht="33.75" x14ac:dyDescent="0.25">
      <c r="A1107" s="13">
        <v>13465</v>
      </c>
      <c r="B1107" s="14">
        <v>43425.54828703704</v>
      </c>
      <c r="C1107" s="13" t="s">
        <v>10</v>
      </c>
      <c r="D1107" s="13" t="str">
        <f t="shared" si="77"/>
        <v>PRESIDI MEDICO-CHIRURGICI GENERICI E AUSILI TECNICI PER DISABILI T</v>
      </c>
      <c r="E1107" s="13" t="str">
        <f t="shared" si="78"/>
        <v>BETATEX SPA</v>
      </c>
      <c r="F1107" s="13" t="s">
        <v>14</v>
      </c>
      <c r="G1107" s="15">
        <v>440</v>
      </c>
    </row>
    <row r="1108" spans="1:7" ht="22.5" x14ac:dyDescent="0.25">
      <c r="A1108" s="13">
        <v>13466</v>
      </c>
      <c r="B1108" s="14">
        <v>43425.54828703704</v>
      </c>
      <c r="C1108" s="13" t="s">
        <v>10</v>
      </c>
      <c r="D1108" s="13" t="str">
        <f>"PRODOTTI FARMACEUTICI CON AIC"</f>
        <v>PRODOTTI FARMACEUTICI CON AIC</v>
      </c>
      <c r="E1108" s="13" t="str">
        <f>"CODIFI SRL"</f>
        <v>CODIFI SRL</v>
      </c>
      <c r="F1108" s="13" t="s">
        <v>14</v>
      </c>
      <c r="G1108" s="15">
        <v>474.03</v>
      </c>
    </row>
    <row r="1109" spans="1:7" ht="22.5" x14ac:dyDescent="0.25">
      <c r="A1109" s="13">
        <v>13467</v>
      </c>
      <c r="B1109" s="14">
        <v>43425.548298611109</v>
      </c>
      <c r="C1109" s="13" t="s">
        <v>10</v>
      </c>
      <c r="D1109" s="13" t="str">
        <f>"ALTRI SERVIZI S.T."</f>
        <v>ALTRI SERVIZI S.T.</v>
      </c>
      <c r="E1109" s="13" t="str">
        <f>"D &amp; T SRL"</f>
        <v>D &amp; T SRL</v>
      </c>
      <c r="F1109" s="13" t="str">
        <f>"ALTRE SPESE PER SERV.NON SANITARI"</f>
        <v>ALTRE SPESE PER SERV.NON SANITARI</v>
      </c>
      <c r="G1109" s="15">
        <v>605.48</v>
      </c>
    </row>
    <row r="1110" spans="1:7" ht="22.5" x14ac:dyDescent="0.25">
      <c r="A1110" s="13">
        <v>13468</v>
      </c>
      <c r="B1110" s="14">
        <v>43425.548298611109</v>
      </c>
      <c r="C1110" s="13" t="s">
        <v>10</v>
      </c>
      <c r="D1110" s="13" t="str">
        <f>"ALTRI SERVIZI S.T."</f>
        <v>ALTRI SERVIZI S.T.</v>
      </c>
      <c r="E1110" s="13" t="str">
        <f>"EL.MA.M. SRL"</f>
        <v>EL.MA.M. SRL</v>
      </c>
      <c r="F1110" s="13" t="str">
        <f>"ALTRE SPESE PER SERV.NON SANITARI"</f>
        <v>ALTRE SPESE PER SERV.NON SANITARI</v>
      </c>
      <c r="G1110" s="15">
        <v>377.09</v>
      </c>
    </row>
    <row r="1111" spans="1:7" ht="22.5" x14ac:dyDescent="0.25">
      <c r="A1111" s="13">
        <v>13469</v>
      </c>
      <c r="B1111" s="14">
        <v>43425.548298611109</v>
      </c>
      <c r="C1111" s="13" t="s">
        <v>10</v>
      </c>
      <c r="D1111" s="13" t="str">
        <f>"ALTRI SERVIZI S.T."</f>
        <v>ALTRI SERVIZI S.T.</v>
      </c>
      <c r="E1111" s="13" t="str">
        <f>"EL.MA.M. SRL"</f>
        <v>EL.MA.M. SRL</v>
      </c>
      <c r="F1111" s="13" t="str">
        <f>"ALTRE SPESE PER SERV.NON SANITARI"</f>
        <v>ALTRE SPESE PER SERV.NON SANITARI</v>
      </c>
      <c r="G1111" s="15">
        <v>9.83</v>
      </c>
    </row>
    <row r="1112" spans="1:7" ht="22.5" x14ac:dyDescent="0.25">
      <c r="A1112" s="13">
        <v>13470</v>
      </c>
      <c r="B1112" s="14">
        <v>43425.548298611109</v>
      </c>
      <c r="C1112" s="13" t="s">
        <v>10</v>
      </c>
      <c r="D1112" s="13" t="str">
        <f>"CANCELLERIA E SUPPORTI MECCANOGRAFICI"</f>
        <v>CANCELLERIA E SUPPORTI MECCANOGRAFICI</v>
      </c>
      <c r="E1112" s="13" t="str">
        <f>"ERREBIAN SPA"</f>
        <v>ERREBIAN SPA</v>
      </c>
      <c r="F1112" s="13" t="s">
        <v>14</v>
      </c>
      <c r="G1112" s="15">
        <v>1763.18</v>
      </c>
    </row>
    <row r="1113" spans="1:7" ht="22.5" x14ac:dyDescent="0.25">
      <c r="A1113" s="13">
        <v>13471</v>
      </c>
      <c r="B1113" s="14">
        <v>43425.548298611109</v>
      </c>
      <c r="C1113" s="13" t="s">
        <v>11</v>
      </c>
      <c r="D1113" s="13" t="str">
        <f>"MANUTENZIONE ATTREZZATURE SANITARIE"</f>
        <v>MANUTENZIONE ATTREZZATURE SANITARIE</v>
      </c>
      <c r="E1113" s="13" t="str">
        <f>"DASIT SPA"</f>
        <v>DASIT SPA</v>
      </c>
      <c r="F1113" s="13" t="s">
        <v>22</v>
      </c>
      <c r="G1113" s="15">
        <v>3624.62</v>
      </c>
    </row>
    <row r="1114" spans="1:7" ht="22.5" x14ac:dyDescent="0.25">
      <c r="A1114" s="13">
        <v>13472</v>
      </c>
      <c r="B1114" s="14">
        <v>43425.548298611109</v>
      </c>
      <c r="C1114" s="13" t="s">
        <v>10</v>
      </c>
      <c r="D1114" s="13" t="str">
        <f>"MATERIALE PROTESICO"</f>
        <v>MATERIALE PROTESICO</v>
      </c>
      <c r="E1114" s="13" t="str">
        <f>"CONMED ITALIA SRL con Socio Unico"</f>
        <v>CONMED ITALIA SRL con Socio Unico</v>
      </c>
      <c r="F1114" s="13" t="s">
        <v>14</v>
      </c>
      <c r="G1114" s="15">
        <v>389.5</v>
      </c>
    </row>
    <row r="1115" spans="1:7" ht="22.5" x14ac:dyDescent="0.25">
      <c r="A1115" s="13">
        <v>13473</v>
      </c>
      <c r="B1115" s="14">
        <v>43425.548298611109</v>
      </c>
      <c r="C1115" s="13" t="s">
        <v>10</v>
      </c>
      <c r="D1115" s="13" t="str">
        <f>"MATERIALE PROTESICO"</f>
        <v>MATERIALE PROTESICO</v>
      </c>
      <c r="E1115" s="13" t="str">
        <f>"DIAL MEDICALI SRL"</f>
        <v>DIAL MEDICALI SRL</v>
      </c>
      <c r="F1115" s="13" t="s">
        <v>14</v>
      </c>
      <c r="G1115" s="15">
        <v>72</v>
      </c>
    </row>
    <row r="1116" spans="1:7" ht="22.5" x14ac:dyDescent="0.25">
      <c r="A1116" s="13">
        <v>13474</v>
      </c>
      <c r="B1116" s="14">
        <v>43425.548298611109</v>
      </c>
      <c r="C1116" s="13" t="s">
        <v>10</v>
      </c>
      <c r="D1116" s="13" t="str">
        <f>"MATERIALE PROTESICO"</f>
        <v>MATERIALE PROTESICO</v>
      </c>
      <c r="E1116" s="13" t="str">
        <f>"DIAL MEDICALI SRL"</f>
        <v>DIAL MEDICALI SRL</v>
      </c>
      <c r="F1116" s="13" t="s">
        <v>14</v>
      </c>
      <c r="G1116" s="15">
        <v>72</v>
      </c>
    </row>
    <row r="1117" spans="1:7" ht="22.5" x14ac:dyDescent="0.25">
      <c r="A1117" s="13">
        <v>13475</v>
      </c>
      <c r="B1117" s="14">
        <v>43425.548298611109</v>
      </c>
      <c r="C1117" s="13" t="s">
        <v>10</v>
      </c>
      <c r="D1117" s="13" t="str">
        <f>"MATERIALI DI GUARDAROBA E CONVIVENZA"</f>
        <v>MATERIALI DI GUARDAROBA E CONVIVENZA</v>
      </c>
      <c r="E1117" s="13" t="str">
        <f>"EDILFERRAMENTA SRL"</f>
        <v>EDILFERRAMENTA SRL</v>
      </c>
      <c r="F1117" s="13" t="s">
        <v>14</v>
      </c>
      <c r="G1117" s="15">
        <v>51.23</v>
      </c>
    </row>
    <row r="1118" spans="1:7" ht="33.75" x14ac:dyDescent="0.25">
      <c r="A1118" s="13">
        <v>13476</v>
      </c>
      <c r="B1118" s="14">
        <v>43425.548298611109</v>
      </c>
      <c r="C1118" s="13" t="s">
        <v>10</v>
      </c>
      <c r="D1118" s="13" t="str">
        <f>"PRESIDI MEDICO-CHIRURGICI GENERICI E AUSILI TECNICI PER DISABILI M"</f>
        <v>PRESIDI MEDICO-CHIRURGICI GENERICI E AUSILI TECNICI PER DISABILI M</v>
      </c>
      <c r="E1118" s="13" t="str">
        <f>"CONVATEC ITALIA SRL con Socio Unico"</f>
        <v>CONVATEC ITALIA SRL con Socio Unico</v>
      </c>
      <c r="F1118" s="13" t="s">
        <v>14</v>
      </c>
      <c r="G1118" s="15">
        <v>345</v>
      </c>
    </row>
    <row r="1119" spans="1:7" ht="33.75" x14ac:dyDescent="0.25">
      <c r="A1119" s="13">
        <v>13477</v>
      </c>
      <c r="B1119" s="14">
        <v>43425.548298611109</v>
      </c>
      <c r="C1119" s="13" t="s">
        <v>10</v>
      </c>
      <c r="D1119" s="13" t="str">
        <f>"PRESIDI MEDICO-CHIRURGICI GENERICI E AUSILI TECNICI PER DISABILI M"</f>
        <v>PRESIDI MEDICO-CHIRURGICI GENERICI E AUSILI TECNICI PER DISABILI M</v>
      </c>
      <c r="E1119" s="13" t="str">
        <f>"EUROFARM SPA"</f>
        <v>EUROFARM SPA</v>
      </c>
      <c r="F1119" s="13" t="s">
        <v>14</v>
      </c>
      <c r="G1119" s="15">
        <v>1689</v>
      </c>
    </row>
    <row r="1120" spans="1:7" ht="22.5" x14ac:dyDescent="0.25">
      <c r="A1120" s="13">
        <v>13478</v>
      </c>
      <c r="B1120" s="14">
        <v>43425.548298611109</v>
      </c>
      <c r="C1120" s="13" t="s">
        <v>10</v>
      </c>
      <c r="D1120" s="13" t="str">
        <f>"PRESIDI MEDICO-CHIRURGICI SPECIALISTICI R"</f>
        <v>PRESIDI MEDICO-CHIRURGICI SPECIALISTICI R</v>
      </c>
      <c r="E1120" s="13" t="str">
        <f>"COOK ITALIA SRL"</f>
        <v>COOK ITALIA SRL</v>
      </c>
      <c r="F1120" s="13" t="s">
        <v>14</v>
      </c>
      <c r="G1120" s="15">
        <v>90</v>
      </c>
    </row>
    <row r="1121" spans="1:7" ht="22.5" x14ac:dyDescent="0.25">
      <c r="A1121" s="13">
        <v>13479</v>
      </c>
      <c r="B1121" s="14">
        <v>43425.548298611109</v>
      </c>
      <c r="C1121" s="13" t="s">
        <v>10</v>
      </c>
      <c r="D1121" s="13" t="str">
        <f>"PRODOTTI FARMACEUTICI CON AIC"</f>
        <v>PRODOTTI FARMACEUTICI CON AIC</v>
      </c>
      <c r="E1121" s="13" t="str">
        <f>"CRINOS SPA"</f>
        <v>CRINOS SPA</v>
      </c>
      <c r="F1121" s="13" t="s">
        <v>14</v>
      </c>
      <c r="G1121" s="15">
        <v>628.79999999999995</v>
      </c>
    </row>
    <row r="1122" spans="1:7" ht="22.5" x14ac:dyDescent="0.25">
      <c r="A1122" s="13">
        <v>13480</v>
      </c>
      <c r="B1122" s="14">
        <v>43425.548298611109</v>
      </c>
      <c r="C1122" s="13" t="s">
        <v>10</v>
      </c>
      <c r="D1122" s="13" t="str">
        <f>"PRODOTTI FARMACEUTICI CON AIC"</f>
        <v>PRODOTTI FARMACEUTICI CON AIC</v>
      </c>
      <c r="E1122" s="13" t="str">
        <f>"EG SPA - EURO GENERICI"</f>
        <v>EG SPA - EURO GENERICI</v>
      </c>
      <c r="F1122" s="13" t="s">
        <v>14</v>
      </c>
      <c r="G1122" s="15">
        <v>134.31</v>
      </c>
    </row>
    <row r="1123" spans="1:7" ht="22.5" x14ac:dyDescent="0.25">
      <c r="A1123" s="13">
        <v>13481</v>
      </c>
      <c r="B1123" s="14">
        <v>43425.548310185186</v>
      </c>
      <c r="C1123" s="13" t="s">
        <v>10</v>
      </c>
      <c r="D1123" s="13" t="str">
        <f>"ALTRI SERVIZI S.T."</f>
        <v>ALTRI SERVIZI S.T.</v>
      </c>
      <c r="E1123" s="13" t="str">
        <f>"FORNIT SAS"</f>
        <v>FORNIT SAS</v>
      </c>
      <c r="F1123" s="13" t="str">
        <f>"ALTRE SPESE PER SERV.NON SANITARI"</f>
        <v>ALTRE SPESE PER SERV.NON SANITARI</v>
      </c>
      <c r="G1123" s="15">
        <v>404.4</v>
      </c>
    </row>
    <row r="1124" spans="1:7" ht="22.5" x14ac:dyDescent="0.25">
      <c r="A1124" s="13">
        <v>13482</v>
      </c>
      <c r="B1124" s="14">
        <v>43425.548310185186</v>
      </c>
      <c r="C1124" s="13" t="s">
        <v>10</v>
      </c>
      <c r="D1124" s="13" t="str">
        <f>"FARMACI FILE F"</f>
        <v>FARMACI FILE F</v>
      </c>
      <c r="E1124" s="13" t="str">
        <f>"GLAXOSMITHKLINE SPA Unipersonale"</f>
        <v>GLAXOSMITHKLINE SPA Unipersonale</v>
      </c>
      <c r="F1124" s="13" t="s">
        <v>14</v>
      </c>
      <c r="G1124" s="15">
        <v>3867.52</v>
      </c>
    </row>
    <row r="1125" spans="1:7" ht="22.5" x14ac:dyDescent="0.25">
      <c r="A1125" s="13">
        <v>13483</v>
      </c>
      <c r="B1125" s="14">
        <v>43425.548310185186</v>
      </c>
      <c r="C1125" s="13" t="s">
        <v>11</v>
      </c>
      <c r="D1125" s="13" t="str">
        <f>"MANUTENZIONE ALTRI BENI ST"</f>
        <v>MANUTENZIONE ALTRI BENI ST</v>
      </c>
      <c r="E1125" s="13" t="str">
        <f>"GNODI SERVICE SRL con Socio Unico"</f>
        <v>GNODI SERVICE SRL con Socio Unico</v>
      </c>
      <c r="F1125" s="13" t="s">
        <v>22</v>
      </c>
      <c r="G1125" s="15">
        <v>7446.03</v>
      </c>
    </row>
    <row r="1126" spans="1:7" ht="22.5" x14ac:dyDescent="0.25">
      <c r="A1126" s="13">
        <v>13484</v>
      </c>
      <c r="B1126" s="14">
        <v>43425.548310185186</v>
      </c>
      <c r="C1126" s="13" t="s">
        <v>10</v>
      </c>
      <c r="D1126" s="13" t="str">
        <f t="shared" ref="D1126:D1131" si="79">"MATERIALE PROTESICO"</f>
        <v>MATERIALE PROTESICO</v>
      </c>
      <c r="E1126" s="13" t="str">
        <f>"FIN - CERAMICA FAENZA SPA con Socio Unico"</f>
        <v>FIN - CERAMICA FAENZA SPA con Socio Unico</v>
      </c>
      <c r="F1126" s="13" t="s">
        <v>14</v>
      </c>
      <c r="G1126" s="15">
        <v>650</v>
      </c>
    </row>
    <row r="1127" spans="1:7" ht="22.5" x14ac:dyDescent="0.25">
      <c r="A1127" s="13">
        <v>13485</v>
      </c>
      <c r="B1127" s="14">
        <v>43425.548310185186</v>
      </c>
      <c r="C1127" s="13" t="s">
        <v>10</v>
      </c>
      <c r="D1127" s="13" t="str">
        <f t="shared" si="79"/>
        <v>MATERIALE PROTESICO</v>
      </c>
      <c r="E1127" s="13" t="str">
        <f>"FIN - CERAMICA FAENZA SPA con Socio Unico"</f>
        <v>FIN - CERAMICA FAENZA SPA con Socio Unico</v>
      </c>
      <c r="F1127" s="13" t="s">
        <v>14</v>
      </c>
      <c r="G1127" s="15">
        <v>930.07</v>
      </c>
    </row>
    <row r="1128" spans="1:7" ht="22.5" x14ac:dyDescent="0.25">
      <c r="A1128" s="13">
        <v>13486</v>
      </c>
      <c r="B1128" s="14">
        <v>43425.548310185186</v>
      </c>
      <c r="C1128" s="13" t="s">
        <v>10</v>
      </c>
      <c r="D1128" s="13" t="str">
        <f t="shared" si="79"/>
        <v>MATERIALE PROTESICO</v>
      </c>
      <c r="E1128" s="13" t="str">
        <f>"FIN - CERAMICA FAENZA SPA con Socio Unico"</f>
        <v>FIN - CERAMICA FAENZA SPA con Socio Unico</v>
      </c>
      <c r="F1128" s="13" t="s">
        <v>14</v>
      </c>
      <c r="G1128" s="15">
        <v>350.02</v>
      </c>
    </row>
    <row r="1129" spans="1:7" ht="22.5" x14ac:dyDescent="0.25">
      <c r="A1129" s="13">
        <v>13487</v>
      </c>
      <c r="B1129" s="14">
        <v>43425.548310185186</v>
      </c>
      <c r="C1129" s="13" t="s">
        <v>10</v>
      </c>
      <c r="D1129" s="13" t="str">
        <f t="shared" si="79"/>
        <v>MATERIALE PROTESICO</v>
      </c>
      <c r="E1129" s="13" t="str">
        <f>"FIN - CERAMICA FAENZA SPA con Socio Unico"</f>
        <v>FIN - CERAMICA FAENZA SPA con Socio Unico</v>
      </c>
      <c r="F1129" s="13" t="s">
        <v>14</v>
      </c>
      <c r="G1129" s="15">
        <v>420.03</v>
      </c>
    </row>
    <row r="1130" spans="1:7" ht="22.5" x14ac:dyDescent="0.25">
      <c r="A1130" s="13">
        <v>13488</v>
      </c>
      <c r="B1130" s="14">
        <v>43425.548310185186</v>
      </c>
      <c r="C1130" s="13" t="s">
        <v>10</v>
      </c>
      <c r="D1130" s="13" t="str">
        <f t="shared" si="79"/>
        <v>MATERIALE PROTESICO</v>
      </c>
      <c r="E1130" s="13" t="str">
        <f>"FIN - CERAMICA FAENZA SPA con Socio Unico"</f>
        <v>FIN - CERAMICA FAENZA SPA con Socio Unico</v>
      </c>
      <c r="F1130" s="13" t="s">
        <v>14</v>
      </c>
      <c r="G1130" s="15">
        <v>2350.12</v>
      </c>
    </row>
    <row r="1131" spans="1:7" ht="22.5" x14ac:dyDescent="0.25">
      <c r="A1131" s="13">
        <v>13489</v>
      </c>
      <c r="B1131" s="14">
        <v>43425.548310185186</v>
      </c>
      <c r="C1131" s="13" t="s">
        <v>10</v>
      </c>
      <c r="D1131" s="13" t="str">
        <f t="shared" si="79"/>
        <v>MATERIALE PROTESICO</v>
      </c>
      <c r="E1131" s="13" t="str">
        <f>"GLOBUS MEDICAL ITALY SRL"</f>
        <v>GLOBUS MEDICAL ITALY SRL</v>
      </c>
      <c r="F1131" s="13" t="s">
        <v>14</v>
      </c>
      <c r="G1131" s="15">
        <v>1625</v>
      </c>
    </row>
    <row r="1132" spans="1:7" ht="22.5" x14ac:dyDescent="0.25">
      <c r="A1132" s="13">
        <v>13490</v>
      </c>
      <c r="B1132" s="14">
        <v>43425.548310185186</v>
      </c>
      <c r="C1132" s="13" t="s">
        <v>10</v>
      </c>
      <c r="D1132" s="13" t="str">
        <f>"MATERIALI DI GUARDAROBA E CONVIVENZA"</f>
        <v>MATERIALI DI GUARDAROBA E CONVIVENZA</v>
      </c>
      <c r="E1132" s="13" t="str">
        <f>"GECAL SPA"</f>
        <v>GECAL SPA</v>
      </c>
      <c r="F1132" s="13" t="s">
        <v>14</v>
      </c>
      <c r="G1132" s="15">
        <v>117.69</v>
      </c>
    </row>
    <row r="1133" spans="1:7" ht="22.5" x14ac:dyDescent="0.25">
      <c r="A1133" s="13">
        <v>13491</v>
      </c>
      <c r="B1133" s="14">
        <v>43425.548310185186</v>
      </c>
      <c r="C1133" s="13" t="s">
        <v>10</v>
      </c>
      <c r="D1133" s="13" t="str">
        <f t="shared" ref="D1133:D1141" si="80">"PRODOTTI FARMACEUTICI CON AIC"</f>
        <v>PRODOTTI FARMACEUTICI CON AIC</v>
      </c>
      <c r="E1133" s="13" t="str">
        <f>"EUROMED SRL a Socio Unico"</f>
        <v>EUROMED SRL a Socio Unico</v>
      </c>
      <c r="F1133" s="13" t="s">
        <v>14</v>
      </c>
      <c r="G1133" s="15">
        <v>1597.5</v>
      </c>
    </row>
    <row r="1134" spans="1:7" ht="22.5" x14ac:dyDescent="0.25">
      <c r="A1134" s="13">
        <v>13492</v>
      </c>
      <c r="B1134" s="14">
        <v>43425.548310185186</v>
      </c>
      <c r="C1134" s="13" t="s">
        <v>10</v>
      </c>
      <c r="D1134" s="13" t="str">
        <f t="shared" si="80"/>
        <v>PRODOTTI FARMACEUTICI CON AIC</v>
      </c>
      <c r="E1134" s="13" t="str">
        <f>"FIDIA FARMACEUTICI SPA"</f>
        <v>FIDIA FARMACEUTICI SPA</v>
      </c>
      <c r="F1134" s="13" t="s">
        <v>14</v>
      </c>
      <c r="G1134" s="15">
        <v>200</v>
      </c>
    </row>
    <row r="1135" spans="1:7" ht="22.5" x14ac:dyDescent="0.25">
      <c r="A1135" s="13">
        <v>13493</v>
      </c>
      <c r="B1135" s="14">
        <v>43425.548310185186</v>
      </c>
      <c r="C1135" s="13" t="s">
        <v>10</v>
      </c>
      <c r="D1135" s="13" t="str">
        <f t="shared" si="80"/>
        <v>PRODOTTI FARMACEUTICI CON AIC</v>
      </c>
      <c r="E1135" s="13" t="str">
        <f>"FIDIA FARMACEUTICI SPA"</f>
        <v>FIDIA FARMACEUTICI SPA</v>
      </c>
      <c r="F1135" s="13" t="s">
        <v>14</v>
      </c>
      <c r="G1135" s="15">
        <v>1987.2</v>
      </c>
    </row>
    <row r="1136" spans="1:7" ht="22.5" x14ac:dyDescent="0.25">
      <c r="A1136" s="13">
        <v>13494</v>
      </c>
      <c r="B1136" s="14">
        <v>43425.548310185186</v>
      </c>
      <c r="C1136" s="13" t="s">
        <v>10</v>
      </c>
      <c r="D1136" s="13" t="str">
        <f t="shared" si="80"/>
        <v>PRODOTTI FARMACEUTICI CON AIC</v>
      </c>
      <c r="E1136" s="13" t="str">
        <f>"FRESENIUS KABI ITALIA SRL con Socio Unico"</f>
        <v>FRESENIUS KABI ITALIA SRL con Socio Unico</v>
      </c>
      <c r="F1136" s="13" t="s">
        <v>14</v>
      </c>
      <c r="G1136" s="15">
        <v>633.96</v>
      </c>
    </row>
    <row r="1137" spans="1:7" ht="22.5" x14ac:dyDescent="0.25">
      <c r="A1137" s="13">
        <v>13495</v>
      </c>
      <c r="B1137" s="14">
        <v>43425.548310185186</v>
      </c>
      <c r="C1137" s="13" t="s">
        <v>10</v>
      </c>
      <c r="D1137" s="13" t="str">
        <f t="shared" si="80"/>
        <v>PRODOTTI FARMACEUTICI CON AIC</v>
      </c>
      <c r="E1137" s="13" t="str">
        <f>"FRESENIUS KABI ITALIA SRL con Socio Unico"</f>
        <v>FRESENIUS KABI ITALIA SRL con Socio Unico</v>
      </c>
      <c r="F1137" s="13" t="s">
        <v>14</v>
      </c>
      <c r="G1137" s="15">
        <v>633.96</v>
      </c>
    </row>
    <row r="1138" spans="1:7" ht="22.5" x14ac:dyDescent="0.25">
      <c r="A1138" s="13">
        <v>13496</v>
      </c>
      <c r="B1138" s="14">
        <v>43425.548310185186</v>
      </c>
      <c r="C1138" s="13" t="s">
        <v>10</v>
      </c>
      <c r="D1138" s="13" t="str">
        <f t="shared" si="80"/>
        <v>PRODOTTI FARMACEUTICI CON AIC</v>
      </c>
      <c r="E1138" s="13" t="str">
        <f>"FRESENIUS KABI ITALIA SRL con Socio Unico"</f>
        <v>FRESENIUS KABI ITALIA SRL con Socio Unico</v>
      </c>
      <c r="F1138" s="13" t="s">
        <v>14</v>
      </c>
      <c r="G1138" s="15">
        <v>2113.92</v>
      </c>
    </row>
    <row r="1139" spans="1:7" ht="22.5" x14ac:dyDescent="0.25">
      <c r="A1139" s="13">
        <v>13497</v>
      </c>
      <c r="B1139" s="14">
        <v>43425.548310185186</v>
      </c>
      <c r="C1139" s="13" t="s">
        <v>10</v>
      </c>
      <c r="D1139" s="13" t="str">
        <f t="shared" si="80"/>
        <v>PRODOTTI FARMACEUTICI CON AIC</v>
      </c>
      <c r="E1139" s="13" t="str">
        <f>"INDUSTRIA FARMACEUTICA GALENICA SENESE SRL"</f>
        <v>INDUSTRIA FARMACEUTICA GALENICA SENESE SRL</v>
      </c>
      <c r="F1139" s="13" t="s">
        <v>14</v>
      </c>
      <c r="G1139" s="15">
        <v>333.5</v>
      </c>
    </row>
    <row r="1140" spans="1:7" ht="22.5" x14ac:dyDescent="0.25">
      <c r="A1140" s="13">
        <v>13498</v>
      </c>
      <c r="B1140" s="14">
        <v>43425.548310185186</v>
      </c>
      <c r="C1140" s="13" t="s">
        <v>10</v>
      </c>
      <c r="D1140" s="13" t="str">
        <f t="shared" si="80"/>
        <v>PRODOTTI FARMACEUTICI CON AIC</v>
      </c>
      <c r="E1140" s="13" t="str">
        <f>"INNOVA PHARMA SPA"</f>
        <v>INNOVA PHARMA SPA</v>
      </c>
      <c r="F1140" s="13" t="s">
        <v>14</v>
      </c>
      <c r="G1140" s="15">
        <v>162</v>
      </c>
    </row>
    <row r="1141" spans="1:7" ht="22.5" x14ac:dyDescent="0.25">
      <c r="A1141" s="13">
        <v>13499</v>
      </c>
      <c r="B1141" s="14">
        <v>43425.548310185186</v>
      </c>
      <c r="C1141" s="13" t="s">
        <v>10</v>
      </c>
      <c r="D1141" s="13" t="str">
        <f t="shared" si="80"/>
        <v>PRODOTTI FARMACEUTICI CON AIC</v>
      </c>
      <c r="E1141" s="13" t="str">
        <f>"INNOVA PHARMA SPA"</f>
        <v>INNOVA PHARMA SPA</v>
      </c>
      <c r="F1141" s="13" t="s">
        <v>14</v>
      </c>
      <c r="G1141" s="15">
        <v>405.2</v>
      </c>
    </row>
    <row r="1142" spans="1:7" ht="22.5" x14ac:dyDescent="0.25">
      <c r="A1142" s="13">
        <v>13500</v>
      </c>
      <c r="B1142" s="14">
        <v>43425.548310185186</v>
      </c>
      <c r="C1142" s="13" t="s">
        <v>10</v>
      </c>
      <c r="D1142" s="13" t="str">
        <f>"SERVIZIO DI LAVANDERIA"</f>
        <v>SERVIZIO DI LAVANDERIA</v>
      </c>
      <c r="E1142" s="13" t="str">
        <f>"HOSPITAL SERVICE SRL"</f>
        <v>HOSPITAL SERVICE SRL</v>
      </c>
      <c r="F1142" s="13" t="s">
        <v>14</v>
      </c>
      <c r="G1142" s="15">
        <v>8.52</v>
      </c>
    </row>
    <row r="1143" spans="1:7" ht="22.5" x14ac:dyDescent="0.25">
      <c r="A1143" s="13">
        <v>13501</v>
      </c>
      <c r="B1143" s="14">
        <v>43425.548321759263</v>
      </c>
      <c r="C1143" s="13" t="s">
        <v>10</v>
      </c>
      <c r="D1143" s="13" t="str">
        <f>"ALTRI SERVIZI S.T."</f>
        <v>ALTRI SERVIZI S.T.</v>
      </c>
      <c r="E1143" s="13" t="str">
        <f>"LP VETRERIA SAS DI LINDO PEDRETTI &amp; C"</f>
        <v>LP VETRERIA SAS DI LINDO PEDRETTI &amp; C</v>
      </c>
      <c r="F1143" s="13" t="str">
        <f>"ALTRE SPESE PER SERV.NON SANITARI"</f>
        <v>ALTRE SPESE PER SERV.NON SANITARI</v>
      </c>
      <c r="G1143" s="15">
        <v>746.78</v>
      </c>
    </row>
    <row r="1144" spans="1:7" ht="33.75" x14ac:dyDescent="0.25">
      <c r="A1144" s="13">
        <v>13502</v>
      </c>
      <c r="B1144" s="14">
        <v>43425.548321759263</v>
      </c>
      <c r="C1144" s="13" t="s">
        <v>10</v>
      </c>
      <c r="D1144" s="13" t="str">
        <f>"DISPOSITIVI DI SOMMINISTRAZIONE, PRELIEVO E RACCOLTA (CIN A)"</f>
        <v>DISPOSITIVI DI SOMMINISTRAZIONE, PRELIEVO E RACCOLTA (CIN A)</v>
      </c>
      <c r="E1144" s="13" t="str">
        <f>"MACROPHARM SRL"</f>
        <v>MACROPHARM SRL</v>
      </c>
      <c r="F1144" s="13" t="s">
        <v>14</v>
      </c>
      <c r="G1144" s="15">
        <v>470.4</v>
      </c>
    </row>
    <row r="1145" spans="1:7" ht="22.5" x14ac:dyDescent="0.25">
      <c r="A1145" s="13">
        <v>13503</v>
      </c>
      <c r="B1145" s="14">
        <v>43425.548321759263</v>
      </c>
      <c r="C1145" s="13" t="s">
        <v>10</v>
      </c>
      <c r="D1145" s="13" t="str">
        <f>"MATERIALE PROTESICO"</f>
        <v>MATERIALE PROTESICO</v>
      </c>
      <c r="E1145" s="13" t="str">
        <f>"LINK ITALIA SPA - Socio Unico"</f>
        <v>LINK ITALIA SPA - Socio Unico</v>
      </c>
      <c r="F1145" s="13" t="s">
        <v>14</v>
      </c>
      <c r="G1145" s="15">
        <v>1126.5999999999999</v>
      </c>
    </row>
    <row r="1146" spans="1:7" ht="22.5" x14ac:dyDescent="0.25">
      <c r="A1146" s="13">
        <v>13504</v>
      </c>
      <c r="B1146" s="14">
        <v>43425.548321759263</v>
      </c>
      <c r="C1146" s="13" t="s">
        <v>10</v>
      </c>
      <c r="D1146" s="13" t="str">
        <f>"MATERIALE PROTESICO"</f>
        <v>MATERIALE PROTESICO</v>
      </c>
      <c r="E1146" s="13" t="str">
        <f>"LINK ITALIA SPA - Socio Unico"</f>
        <v>LINK ITALIA SPA - Socio Unico</v>
      </c>
      <c r="F1146" s="13" t="s">
        <v>14</v>
      </c>
      <c r="G1146" s="15">
        <v>2437.35</v>
      </c>
    </row>
    <row r="1147" spans="1:7" ht="22.5" x14ac:dyDescent="0.25">
      <c r="A1147" s="13">
        <v>13505</v>
      </c>
      <c r="B1147" s="14">
        <v>43425.548321759263</v>
      </c>
      <c r="C1147" s="13" t="s">
        <v>10</v>
      </c>
      <c r="D1147" s="13" t="str">
        <f>"MATERIALE PROTESICO"</f>
        <v>MATERIALE PROTESICO</v>
      </c>
      <c r="E1147" s="13" t="str">
        <f>"MEDACTA ITALIA SRL a Socio Unico"</f>
        <v>MEDACTA ITALIA SRL a Socio Unico</v>
      </c>
      <c r="F1147" s="13" t="s">
        <v>14</v>
      </c>
      <c r="G1147" s="15">
        <v>2552.4499999999998</v>
      </c>
    </row>
    <row r="1148" spans="1:7" ht="33.75" x14ac:dyDescent="0.25">
      <c r="A1148" s="13">
        <v>13506</v>
      </c>
      <c r="B1148" s="14">
        <v>43425.548321759263</v>
      </c>
      <c r="C1148" s="13" t="s">
        <v>10</v>
      </c>
      <c r="D1148" s="13" t="str">
        <f>"PRESIDI MEDICO-CHIRURGICI GENERICI E AUSILI TECNICI PER DISABILI M"</f>
        <v>PRESIDI MEDICO-CHIRURGICI GENERICI E AUSILI TECNICI PER DISABILI M</v>
      </c>
      <c r="E1148" s="13" t="str">
        <f>"INTECH SAS"</f>
        <v>INTECH SAS</v>
      </c>
      <c r="F1148" s="13" t="s">
        <v>14</v>
      </c>
      <c r="G1148" s="15">
        <v>2556</v>
      </c>
    </row>
    <row r="1149" spans="1:7" ht="33.75" x14ac:dyDescent="0.25">
      <c r="A1149" s="13">
        <v>13507</v>
      </c>
      <c r="B1149" s="14">
        <v>43425.548321759263</v>
      </c>
      <c r="C1149" s="13" t="s">
        <v>10</v>
      </c>
      <c r="D1149" s="13" t="str">
        <f>"PRESIDI MEDICO-CHIRURGICI GENERICI E AUSILI TECNICI PER DISABILI M"</f>
        <v>PRESIDI MEDICO-CHIRURGICI GENERICI E AUSILI TECNICI PER DISABILI M</v>
      </c>
      <c r="E1149" s="13" t="str">
        <f>"LOHMANN &amp; RAUSCHER SRL Soc. Unipersonale"</f>
        <v>LOHMANN &amp; RAUSCHER SRL Soc. Unipersonale</v>
      </c>
      <c r="F1149" s="13" t="s">
        <v>14</v>
      </c>
      <c r="G1149" s="15">
        <v>62.91</v>
      </c>
    </row>
    <row r="1150" spans="1:7" ht="33.75" x14ac:dyDescent="0.25">
      <c r="A1150" s="13">
        <v>13508</v>
      </c>
      <c r="B1150" s="14">
        <v>43425.548321759263</v>
      </c>
      <c r="C1150" s="13" t="s">
        <v>10</v>
      </c>
      <c r="D1150" s="13" t="str">
        <f>"PRESIDI MEDICO-CHIRURGICI GENERICI E AUSILI TECNICI PER DISABILI M"</f>
        <v>PRESIDI MEDICO-CHIRURGICI GENERICI E AUSILI TECNICI PER DISABILI M</v>
      </c>
      <c r="E1150" s="13" t="str">
        <f>"LOHMANN &amp; RAUSCHER SRL Soc. Unipersonale"</f>
        <v>LOHMANN &amp; RAUSCHER SRL Soc. Unipersonale</v>
      </c>
      <c r="F1150" s="13" t="s">
        <v>14</v>
      </c>
      <c r="G1150" s="15">
        <v>123.18</v>
      </c>
    </row>
    <row r="1151" spans="1:7" ht="33.75" x14ac:dyDescent="0.25">
      <c r="A1151" s="13">
        <v>13509</v>
      </c>
      <c r="B1151" s="14">
        <v>43425.548321759263</v>
      </c>
      <c r="C1151" s="13" t="s">
        <v>10</v>
      </c>
      <c r="D1151" s="13" t="str">
        <f>"PRESIDI MEDICO-CHIRURGICI GENERICI E AUSILI TECNICI PER DISABILI M"</f>
        <v>PRESIDI MEDICO-CHIRURGICI GENERICI E AUSILI TECNICI PER DISABILI M</v>
      </c>
      <c r="E1151" s="13" t="str">
        <f>"LOHMANN &amp; RAUSCHER SRL Soc. Unipersonale"</f>
        <v>LOHMANN &amp; RAUSCHER SRL Soc. Unipersonale</v>
      </c>
      <c r="F1151" s="13" t="s">
        <v>14</v>
      </c>
      <c r="G1151" s="15">
        <v>405.52</v>
      </c>
    </row>
    <row r="1152" spans="1:7" ht="33.75" x14ac:dyDescent="0.25">
      <c r="A1152" s="13">
        <v>13510</v>
      </c>
      <c r="B1152" s="14">
        <v>43425.548321759263</v>
      </c>
      <c r="C1152" s="13" t="s">
        <v>10</v>
      </c>
      <c r="D1152" s="13" t="str">
        <f>"PRESIDI MEDICO-CHIRURGICI GENERICI E AUSILI TECNICI PER DISABILI T"</f>
        <v>PRESIDI MEDICO-CHIRURGICI GENERICI E AUSILI TECNICI PER DISABILI T</v>
      </c>
      <c r="E1152" s="13" t="str">
        <f>"LOHMANN &amp; RAUSCHER SRL Soc. Unipersonale"</f>
        <v>LOHMANN &amp; RAUSCHER SRL Soc. Unipersonale</v>
      </c>
      <c r="F1152" s="13" t="s">
        <v>14</v>
      </c>
      <c r="G1152" s="15">
        <v>258.39999999999998</v>
      </c>
    </row>
    <row r="1153" spans="1:7" ht="33.75" x14ac:dyDescent="0.25">
      <c r="A1153" s="13">
        <v>13511</v>
      </c>
      <c r="B1153" s="14">
        <v>43425.548321759263</v>
      </c>
      <c r="C1153" s="13" t="s">
        <v>10</v>
      </c>
      <c r="D1153" s="13" t="str">
        <f>"PRESIDI MEDICO-CHIRURGICI GENERICI E AUSILI TECNICI PER DISABILI Y"</f>
        <v>PRESIDI MEDICO-CHIRURGICI GENERICI E AUSILI TECNICI PER DISABILI Y</v>
      </c>
      <c r="E1153" s="13" t="str">
        <f>"LABOINDUSTRIA SPA"</f>
        <v>LABOINDUSTRIA SPA</v>
      </c>
      <c r="F1153" s="13" t="s">
        <v>14</v>
      </c>
      <c r="G1153" s="15">
        <v>315</v>
      </c>
    </row>
    <row r="1154" spans="1:7" ht="22.5" x14ac:dyDescent="0.25">
      <c r="A1154" s="13">
        <v>13512</v>
      </c>
      <c r="B1154" s="14">
        <v>43425.548321759263</v>
      </c>
      <c r="C1154" s="13" t="s">
        <v>10</v>
      </c>
      <c r="D1154" s="13" t="str">
        <f>"PRESIDI MEDICO-CHIRURGICI SPECIALISTICI R"</f>
        <v>PRESIDI MEDICO-CHIRURGICI SPECIALISTICI R</v>
      </c>
      <c r="E1154" s="13" t="str">
        <f>"INTERSURGICAL SPA"</f>
        <v>INTERSURGICAL SPA</v>
      </c>
      <c r="F1154" s="13" t="s">
        <v>14</v>
      </c>
      <c r="G1154" s="15">
        <v>370</v>
      </c>
    </row>
    <row r="1155" spans="1:7" ht="22.5" x14ac:dyDescent="0.25">
      <c r="A1155" s="13">
        <v>13513</v>
      </c>
      <c r="B1155" s="14">
        <v>43425.548321759263</v>
      </c>
      <c r="C1155" s="13" t="s">
        <v>10</v>
      </c>
      <c r="D1155" s="13" t="str">
        <f>"PRODOTTI FARMACEUTICI CON AIC"</f>
        <v>PRODOTTI FARMACEUTICI CON AIC</v>
      </c>
      <c r="E1155" s="13" t="str">
        <f>"ISTITUTO BIOCHIMICO ITALIANO GIOVANNI LORENZINI SPA"</f>
        <v>ISTITUTO BIOCHIMICO ITALIANO GIOVANNI LORENZINI SPA</v>
      </c>
      <c r="F1155" s="13" t="s">
        <v>14</v>
      </c>
      <c r="G1155" s="15">
        <v>351</v>
      </c>
    </row>
    <row r="1156" spans="1:7" ht="22.5" x14ac:dyDescent="0.25">
      <c r="A1156" s="13">
        <v>13514</v>
      </c>
      <c r="B1156" s="14">
        <v>43425.548321759263</v>
      </c>
      <c r="C1156" s="13" t="s">
        <v>10</v>
      </c>
      <c r="D1156" s="13" t="str">
        <f>"PRODOTTI FARMACEUTICI CON AIC"</f>
        <v>PRODOTTI FARMACEUTICI CON AIC</v>
      </c>
      <c r="E1156" s="13" t="str">
        <f>"L. MOLTENI &amp; C. DEI F.LLI ALITTI Societa di Esercizio SPA"</f>
        <v>L. MOLTENI &amp; C. DEI F.LLI ALITTI Societa di Esercizio SPA</v>
      </c>
      <c r="F1156" s="13" t="s">
        <v>14</v>
      </c>
      <c r="G1156" s="15">
        <v>181.59</v>
      </c>
    </row>
    <row r="1157" spans="1:7" ht="22.5" x14ac:dyDescent="0.25">
      <c r="A1157" s="13">
        <v>13515</v>
      </c>
      <c r="B1157" s="14">
        <v>43425.548321759263</v>
      </c>
      <c r="C1157" s="13" t="s">
        <v>10</v>
      </c>
      <c r="D1157" s="13" t="str">
        <f>"SERVIZIO DI PULIZIA E DISINFESTAZIONE"</f>
        <v>SERVIZIO DI PULIZIA E DISINFESTAZIONE</v>
      </c>
      <c r="E1157" s="13" t="str">
        <f>"L.T. CENTRO SERVIZI di Lorenzo Toselli"</f>
        <v>L.T. CENTRO SERVIZI di Lorenzo Toselli</v>
      </c>
      <c r="F1157" s="13" t="s">
        <v>28</v>
      </c>
      <c r="G1157" s="15">
        <v>176.26</v>
      </c>
    </row>
    <row r="1158" spans="1:7" ht="33.75" x14ac:dyDescent="0.25">
      <c r="A1158" s="13">
        <v>13516</v>
      </c>
      <c r="B1158" s="14">
        <v>43425.548333333332</v>
      </c>
      <c r="C1158" s="13" t="s">
        <v>10</v>
      </c>
      <c r="D1158" s="13" t="str">
        <f>"DISPOSITIVI DI SOMMINISTRAZIONE, PRELIEVO E RACCOLTA (CIN A)"</f>
        <v>DISPOSITIVI DI SOMMINISTRAZIONE, PRELIEVO E RACCOLTA (CIN A)</v>
      </c>
      <c r="E1158" s="13" t="str">
        <f>"MEDELA ITALIA SRL a Socio Unico"</f>
        <v>MEDELA ITALIA SRL a Socio Unico</v>
      </c>
      <c r="F1158" s="13" t="s">
        <v>14</v>
      </c>
      <c r="G1158" s="15">
        <v>1144.8</v>
      </c>
    </row>
    <row r="1159" spans="1:7" ht="33.75" x14ac:dyDescent="0.25">
      <c r="A1159" s="13">
        <v>13517</v>
      </c>
      <c r="B1159" s="14">
        <v>43425.548333333332</v>
      </c>
      <c r="C1159" s="13" t="s">
        <v>10</v>
      </c>
      <c r="D1159" s="13" t="str">
        <f>"DISPOSITIVI DI SOMMINISTRAZIONE, PRELIEVO E RACCOLTA (CIN A)"</f>
        <v>DISPOSITIVI DI SOMMINISTRAZIONE, PRELIEVO E RACCOLTA (CIN A)</v>
      </c>
      <c r="E1159" s="13" t="str">
        <f>"MEDLINE INTERNATIONAL ITALY SRL Unipersonale"</f>
        <v>MEDLINE INTERNATIONAL ITALY SRL Unipersonale</v>
      </c>
      <c r="F1159" s="13" t="s">
        <v>14</v>
      </c>
      <c r="G1159" s="15">
        <v>725</v>
      </c>
    </row>
    <row r="1160" spans="1:7" ht="33.75" x14ac:dyDescent="0.25">
      <c r="A1160" s="13">
        <v>13518</v>
      </c>
      <c r="B1160" s="14">
        <v>43425.548333333332</v>
      </c>
      <c r="C1160" s="13" t="s">
        <v>10</v>
      </c>
      <c r="D1160" s="13" t="str">
        <f>"DISPOSITIVI DI SOMMINISTRAZIONE, PRELIEVO E RACCOLTA (CIN A)"</f>
        <v>DISPOSITIVI DI SOMMINISTRAZIONE, PRELIEVO E RACCOLTA (CIN A)</v>
      </c>
      <c r="E1160" s="13" t="str">
        <f>"MEDTRONIC ITALIA SPA"</f>
        <v>MEDTRONIC ITALIA SPA</v>
      </c>
      <c r="F1160" s="13" t="s">
        <v>14</v>
      </c>
      <c r="G1160" s="15">
        <v>73</v>
      </c>
    </row>
    <row r="1161" spans="1:7" ht="22.5" x14ac:dyDescent="0.25">
      <c r="A1161" s="13">
        <v>13519</v>
      </c>
      <c r="B1161" s="14">
        <v>43425.548333333332</v>
      </c>
      <c r="C1161" s="13" t="s">
        <v>10</v>
      </c>
      <c r="D1161" s="13" t="str">
        <f t="shared" ref="D1161:D1166" si="81">"MATERIALE PROTESICO"</f>
        <v>MATERIALE PROTESICO</v>
      </c>
      <c r="E1161" s="13" t="str">
        <f>"MEDACTA ITALIA SRL a Socio Unico"</f>
        <v>MEDACTA ITALIA SRL a Socio Unico</v>
      </c>
      <c r="F1161" s="13" t="s">
        <v>14</v>
      </c>
      <c r="G1161" s="15">
        <v>2552.4499999999998</v>
      </c>
    </row>
    <row r="1162" spans="1:7" ht="22.5" x14ac:dyDescent="0.25">
      <c r="A1162" s="13">
        <v>13520</v>
      </c>
      <c r="B1162" s="14">
        <v>43425.548333333332</v>
      </c>
      <c r="C1162" s="13" t="s">
        <v>10</v>
      </c>
      <c r="D1162" s="13" t="str">
        <f t="shared" si="81"/>
        <v>MATERIALE PROTESICO</v>
      </c>
      <c r="E1162" s="13" t="str">
        <f>"MEDTRONIC ITALIA SPA"</f>
        <v>MEDTRONIC ITALIA SPA</v>
      </c>
      <c r="F1162" s="13" t="s">
        <v>14</v>
      </c>
      <c r="G1162" s="15">
        <v>383</v>
      </c>
    </row>
    <row r="1163" spans="1:7" ht="22.5" x14ac:dyDescent="0.25">
      <c r="A1163" s="13">
        <v>13521</v>
      </c>
      <c r="B1163" s="14">
        <v>43425.548333333332</v>
      </c>
      <c r="C1163" s="13" t="s">
        <v>10</v>
      </c>
      <c r="D1163" s="13" t="str">
        <f t="shared" si="81"/>
        <v>MATERIALE PROTESICO</v>
      </c>
      <c r="E1163" s="13" t="str">
        <f>"MEDTRONIC ITALIA SPA"</f>
        <v>MEDTRONIC ITALIA SPA</v>
      </c>
      <c r="F1163" s="13" t="s">
        <v>14</v>
      </c>
      <c r="G1163" s="15">
        <v>1827</v>
      </c>
    </row>
    <row r="1164" spans="1:7" ht="22.5" x14ac:dyDescent="0.25">
      <c r="A1164" s="13">
        <v>13522</v>
      </c>
      <c r="B1164" s="14">
        <v>43425.548333333332</v>
      </c>
      <c r="C1164" s="13" t="s">
        <v>10</v>
      </c>
      <c r="D1164" s="13" t="str">
        <f t="shared" si="81"/>
        <v>MATERIALE PROTESICO</v>
      </c>
      <c r="E1164" s="13" t="str">
        <f>"MIKAI SPA"</f>
        <v>MIKAI SPA</v>
      </c>
      <c r="F1164" s="13" t="s">
        <v>14</v>
      </c>
      <c r="G1164" s="15">
        <v>973.7</v>
      </c>
    </row>
    <row r="1165" spans="1:7" ht="22.5" x14ac:dyDescent="0.25">
      <c r="A1165" s="13">
        <v>13523</v>
      </c>
      <c r="B1165" s="14">
        <v>43425.548333333332</v>
      </c>
      <c r="C1165" s="13" t="s">
        <v>10</v>
      </c>
      <c r="D1165" s="13" t="str">
        <f t="shared" si="81"/>
        <v>MATERIALE PROTESICO</v>
      </c>
      <c r="E1165" s="13" t="str">
        <f>"MIKAI SPA"</f>
        <v>MIKAI SPA</v>
      </c>
      <c r="F1165" s="13" t="s">
        <v>14</v>
      </c>
      <c r="G1165" s="15">
        <v>1003.6</v>
      </c>
    </row>
    <row r="1166" spans="1:7" ht="22.5" x14ac:dyDescent="0.25">
      <c r="A1166" s="13">
        <v>13524</v>
      </c>
      <c r="B1166" s="14">
        <v>43425.548333333332</v>
      </c>
      <c r="C1166" s="13" t="s">
        <v>10</v>
      </c>
      <c r="D1166" s="13" t="str">
        <f t="shared" si="81"/>
        <v>MATERIALE PROTESICO</v>
      </c>
      <c r="E1166" s="13" t="str">
        <f>"MIKAI SPA"</f>
        <v>MIKAI SPA</v>
      </c>
      <c r="F1166" s="13" t="s">
        <v>14</v>
      </c>
      <c r="G1166" s="15">
        <v>1103.7</v>
      </c>
    </row>
    <row r="1167" spans="1:7" ht="33.75" x14ac:dyDescent="0.25">
      <c r="A1167" s="13">
        <v>13525</v>
      </c>
      <c r="B1167" s="14">
        <v>43425.548333333332</v>
      </c>
      <c r="C1167" s="13" t="s">
        <v>10</v>
      </c>
      <c r="D1167" s="13" t="str">
        <f>"PRESIDI MEDICO-CHIRURGICI GENERICI E AUSILI TECNICI PER DISABILI H"</f>
        <v>PRESIDI MEDICO-CHIRURGICI GENERICI E AUSILI TECNICI PER DISABILI H</v>
      </c>
      <c r="E1167" s="13" t="str">
        <f>"MEDTRONIC ITALIA SPA"</f>
        <v>MEDTRONIC ITALIA SPA</v>
      </c>
      <c r="F1167" s="13" t="s">
        <v>14</v>
      </c>
      <c r="G1167" s="15">
        <v>3000</v>
      </c>
    </row>
    <row r="1168" spans="1:7" ht="22.5" x14ac:dyDescent="0.25">
      <c r="A1168" s="13">
        <v>13526</v>
      </c>
      <c r="B1168" s="14">
        <v>43425.548333333332</v>
      </c>
      <c r="C1168" s="13" t="s">
        <v>10</v>
      </c>
      <c r="D1168" s="13" t="str">
        <f>"PRESIDI MEDICO-CHIRURGICI SPECIALISTICI R"</f>
        <v>PRESIDI MEDICO-CHIRURGICI SPECIALISTICI R</v>
      </c>
      <c r="E1168" s="13" t="str">
        <f>"MEDTRONIC ITALIA SPA"</f>
        <v>MEDTRONIC ITALIA SPA</v>
      </c>
      <c r="F1168" s="13" t="s">
        <v>14</v>
      </c>
      <c r="G1168" s="15">
        <v>300</v>
      </c>
    </row>
    <row r="1169" spans="1:7" ht="22.5" x14ac:dyDescent="0.25">
      <c r="A1169" s="13">
        <v>13527</v>
      </c>
      <c r="B1169" s="14">
        <v>43425.548333333332</v>
      </c>
      <c r="C1169" s="13" t="s">
        <v>10</v>
      </c>
      <c r="D1169" s="13" t="str">
        <f>"PRESIDI MEDICO-CHIRURGICI SPECIALISTICI R"</f>
        <v>PRESIDI MEDICO-CHIRURGICI SPECIALISTICI R</v>
      </c>
      <c r="E1169" s="13" t="str">
        <f>"MEDTRONIC ITALIA SPA"</f>
        <v>MEDTRONIC ITALIA SPA</v>
      </c>
      <c r="F1169" s="13" t="s">
        <v>14</v>
      </c>
      <c r="G1169" s="15">
        <v>89.6</v>
      </c>
    </row>
    <row r="1170" spans="1:7" ht="22.5" x14ac:dyDescent="0.25">
      <c r="A1170" s="13">
        <v>13528</v>
      </c>
      <c r="B1170" s="14">
        <v>43425.548333333332</v>
      </c>
      <c r="C1170" s="13" t="s">
        <v>10</v>
      </c>
      <c r="D1170" s="13" t="str">
        <f>"PRESIDI MEDICO-CHIRURGICI SPECIALISTICI R"</f>
        <v>PRESIDI MEDICO-CHIRURGICI SPECIALISTICI R</v>
      </c>
      <c r="E1170" s="13" t="str">
        <f>"MEDTRONIC ITALIA SPA"</f>
        <v>MEDTRONIC ITALIA SPA</v>
      </c>
      <c r="F1170" s="13" t="s">
        <v>14</v>
      </c>
      <c r="G1170" s="15">
        <v>996</v>
      </c>
    </row>
    <row r="1171" spans="1:7" ht="22.5" x14ac:dyDescent="0.25">
      <c r="A1171" s="13">
        <v>13529</v>
      </c>
      <c r="B1171" s="14">
        <v>43425.548333333332</v>
      </c>
      <c r="C1171" s="13" t="s">
        <v>10</v>
      </c>
      <c r="D1171" s="13" t="str">
        <f>"PRESIDI MEDICO-CHIRURGICI SPECIALISTICI R"</f>
        <v>PRESIDI MEDICO-CHIRURGICI SPECIALISTICI R</v>
      </c>
      <c r="E1171" s="13" t="str">
        <f>"MEDTRONIC ITALIA SPA"</f>
        <v>MEDTRONIC ITALIA SPA</v>
      </c>
      <c r="F1171" s="13" t="s">
        <v>14</v>
      </c>
      <c r="G1171" s="15">
        <v>249</v>
      </c>
    </row>
    <row r="1172" spans="1:7" ht="22.5" x14ac:dyDescent="0.25">
      <c r="A1172" s="13">
        <v>13530</v>
      </c>
      <c r="B1172" s="14">
        <v>43425.548333333332</v>
      </c>
      <c r="C1172" s="13" t="s">
        <v>10</v>
      </c>
      <c r="D1172" s="13" t="str">
        <f>"PRODOTTI FARMACEUTICI CON AIC"</f>
        <v>PRODOTTI FARMACEUTICI CON AIC</v>
      </c>
      <c r="E1172" s="13" t="str">
        <f>"MSD ITALIA SRL"</f>
        <v>MSD ITALIA SRL</v>
      </c>
      <c r="F1172" s="13" t="s">
        <v>14</v>
      </c>
      <c r="G1172" s="15">
        <v>26.37</v>
      </c>
    </row>
    <row r="1173" spans="1:7" ht="22.5" x14ac:dyDescent="0.25">
      <c r="A1173" s="13">
        <v>13531</v>
      </c>
      <c r="B1173" s="14">
        <v>43425.548333333332</v>
      </c>
      <c r="C1173" s="13" t="s">
        <v>10</v>
      </c>
      <c r="D1173" s="13" t="str">
        <f>"PRODOTTI FARMACEUTICI CON AIC"</f>
        <v>PRODOTTI FARMACEUTICI CON AIC</v>
      </c>
      <c r="E1173" s="13" t="str">
        <f>"MYLAN SPA a Socio Unico"</f>
        <v>MYLAN SPA a Socio Unico</v>
      </c>
      <c r="F1173" s="13" t="s">
        <v>14</v>
      </c>
      <c r="G1173" s="15">
        <v>20</v>
      </c>
    </row>
    <row r="1174" spans="1:7" ht="22.5" x14ac:dyDescent="0.25">
      <c r="A1174" s="13">
        <v>13532</v>
      </c>
      <c r="B1174" s="14">
        <v>43425.548333333332</v>
      </c>
      <c r="C1174" s="13" t="s">
        <v>10</v>
      </c>
      <c r="D1174" s="13" t="str">
        <f>"STRUMENTARIO CHIRURGICO (K, L)"</f>
        <v>STRUMENTARIO CHIRURGICO (K, L)</v>
      </c>
      <c r="E1174" s="13" t="str">
        <f>"MEGATEC SRL"</f>
        <v>MEGATEC SRL</v>
      </c>
      <c r="F1174" s="13" t="s">
        <v>14</v>
      </c>
      <c r="G1174" s="15">
        <v>394.77</v>
      </c>
    </row>
    <row r="1175" spans="1:7" ht="22.5" x14ac:dyDescent="0.25">
      <c r="A1175" s="13">
        <v>13533</v>
      </c>
      <c r="B1175" s="14">
        <v>43425.548344907409</v>
      </c>
      <c r="C1175" s="13" t="s">
        <v>10</v>
      </c>
      <c r="D1175" s="13" t="str">
        <f>"FARMACI FILE F"</f>
        <v>FARMACI FILE F</v>
      </c>
      <c r="E1175" s="13" t="str">
        <f>"NOVARTIS FARMA SPA con Socio Unico"</f>
        <v>NOVARTIS FARMA SPA con Socio Unico</v>
      </c>
      <c r="F1175" s="13" t="s">
        <v>14</v>
      </c>
      <c r="G1175" s="15">
        <v>2757.6</v>
      </c>
    </row>
    <row r="1176" spans="1:7" ht="22.5" x14ac:dyDescent="0.25">
      <c r="A1176" s="13">
        <v>13534</v>
      </c>
      <c r="B1176" s="14">
        <v>43425.548344907409</v>
      </c>
      <c r="C1176" s="13" t="s">
        <v>10</v>
      </c>
      <c r="D1176" s="13" t="str">
        <f t="shared" ref="D1176:D1184" si="82">"MATERIALE PROTESICO"</f>
        <v>MATERIALE PROTESICO</v>
      </c>
      <c r="E1176" s="13" t="str">
        <f t="shared" ref="E1176:E1184" si="83">"PERMEDICA SPA"</f>
        <v>PERMEDICA SPA</v>
      </c>
      <c r="F1176" s="13" t="s">
        <v>14</v>
      </c>
      <c r="G1176" s="15">
        <v>290.39999999999998</v>
      </c>
    </row>
    <row r="1177" spans="1:7" ht="22.5" x14ac:dyDescent="0.25">
      <c r="A1177" s="13">
        <v>13535</v>
      </c>
      <c r="B1177" s="14">
        <v>43425.548344907409</v>
      </c>
      <c r="C1177" s="13" t="s">
        <v>10</v>
      </c>
      <c r="D1177" s="13" t="str">
        <f t="shared" si="82"/>
        <v>MATERIALE PROTESICO</v>
      </c>
      <c r="E1177" s="13" t="str">
        <f t="shared" si="83"/>
        <v>PERMEDICA SPA</v>
      </c>
      <c r="F1177" s="13" t="s">
        <v>14</v>
      </c>
      <c r="G1177" s="15">
        <v>676</v>
      </c>
    </row>
    <row r="1178" spans="1:7" ht="22.5" x14ac:dyDescent="0.25">
      <c r="A1178" s="13">
        <v>13536</v>
      </c>
      <c r="B1178" s="14">
        <v>43425.548344907409</v>
      </c>
      <c r="C1178" s="13" t="s">
        <v>10</v>
      </c>
      <c r="D1178" s="13" t="str">
        <f t="shared" si="82"/>
        <v>MATERIALE PROTESICO</v>
      </c>
      <c r="E1178" s="13" t="str">
        <f t="shared" si="83"/>
        <v>PERMEDICA SPA</v>
      </c>
      <c r="F1178" s="13" t="s">
        <v>14</v>
      </c>
      <c r="G1178" s="15">
        <v>676</v>
      </c>
    </row>
    <row r="1179" spans="1:7" ht="22.5" x14ac:dyDescent="0.25">
      <c r="A1179" s="13">
        <v>13537</v>
      </c>
      <c r="B1179" s="14">
        <v>43425.548344907409</v>
      </c>
      <c r="C1179" s="13" t="s">
        <v>10</v>
      </c>
      <c r="D1179" s="13" t="str">
        <f t="shared" si="82"/>
        <v>MATERIALE PROTESICO</v>
      </c>
      <c r="E1179" s="13" t="str">
        <f t="shared" si="83"/>
        <v>PERMEDICA SPA</v>
      </c>
      <c r="F1179" s="13" t="s">
        <v>14</v>
      </c>
      <c r="G1179" s="15">
        <v>260</v>
      </c>
    </row>
    <row r="1180" spans="1:7" ht="22.5" x14ac:dyDescent="0.25">
      <c r="A1180" s="13">
        <v>13538</v>
      </c>
      <c r="B1180" s="14">
        <v>43425.548344907409</v>
      </c>
      <c r="C1180" s="13" t="s">
        <v>10</v>
      </c>
      <c r="D1180" s="13" t="str">
        <f t="shared" si="82"/>
        <v>MATERIALE PROTESICO</v>
      </c>
      <c r="E1180" s="13" t="str">
        <f t="shared" si="83"/>
        <v>PERMEDICA SPA</v>
      </c>
      <c r="F1180" s="13" t="s">
        <v>14</v>
      </c>
      <c r="G1180" s="15">
        <v>520</v>
      </c>
    </row>
    <row r="1181" spans="1:7" ht="22.5" x14ac:dyDescent="0.25">
      <c r="A1181" s="13">
        <v>13539</v>
      </c>
      <c r="B1181" s="14">
        <v>43425.548344907409</v>
      </c>
      <c r="C1181" s="13" t="s">
        <v>10</v>
      </c>
      <c r="D1181" s="13" t="str">
        <f t="shared" si="82"/>
        <v>MATERIALE PROTESICO</v>
      </c>
      <c r="E1181" s="13" t="str">
        <f t="shared" si="83"/>
        <v>PERMEDICA SPA</v>
      </c>
      <c r="F1181" s="13" t="s">
        <v>14</v>
      </c>
      <c r="G1181" s="15">
        <v>1351.6</v>
      </c>
    </row>
    <row r="1182" spans="1:7" ht="22.5" x14ac:dyDescent="0.25">
      <c r="A1182" s="13">
        <v>13540</v>
      </c>
      <c r="B1182" s="14">
        <v>43425.548344907409</v>
      </c>
      <c r="C1182" s="13" t="s">
        <v>10</v>
      </c>
      <c r="D1182" s="13" t="str">
        <f t="shared" si="82"/>
        <v>MATERIALE PROTESICO</v>
      </c>
      <c r="E1182" s="13" t="str">
        <f t="shared" si="83"/>
        <v>PERMEDICA SPA</v>
      </c>
      <c r="F1182" s="13" t="s">
        <v>14</v>
      </c>
      <c r="G1182" s="15">
        <v>1351.6</v>
      </c>
    </row>
    <row r="1183" spans="1:7" ht="22.5" x14ac:dyDescent="0.25">
      <c r="A1183" s="13">
        <v>13541</v>
      </c>
      <c r="B1183" s="14">
        <v>43425.548344907409</v>
      </c>
      <c r="C1183" s="13" t="s">
        <v>10</v>
      </c>
      <c r="D1183" s="13" t="str">
        <f t="shared" si="82"/>
        <v>MATERIALE PROTESICO</v>
      </c>
      <c r="E1183" s="13" t="str">
        <f t="shared" si="83"/>
        <v>PERMEDICA SPA</v>
      </c>
      <c r="F1183" s="13" t="s">
        <v>14</v>
      </c>
      <c r="G1183" s="15">
        <v>1351.6</v>
      </c>
    </row>
    <row r="1184" spans="1:7" ht="22.5" x14ac:dyDescent="0.25">
      <c r="A1184" s="13">
        <v>13542</v>
      </c>
      <c r="B1184" s="14">
        <v>43425.548344907409</v>
      </c>
      <c r="C1184" s="13" t="s">
        <v>10</v>
      </c>
      <c r="D1184" s="13" t="str">
        <f t="shared" si="82"/>
        <v>MATERIALE PROTESICO</v>
      </c>
      <c r="E1184" s="13" t="str">
        <f t="shared" si="83"/>
        <v>PERMEDICA SPA</v>
      </c>
      <c r="F1184" s="13" t="s">
        <v>14</v>
      </c>
      <c r="G1184" s="15">
        <v>1351.6</v>
      </c>
    </row>
    <row r="1185" spans="1:7" ht="33.75" x14ac:dyDescent="0.25">
      <c r="A1185" s="13">
        <v>13543</v>
      </c>
      <c r="B1185" s="14">
        <v>43425.548344907409</v>
      </c>
      <c r="C1185" s="13" t="s">
        <v>10</v>
      </c>
      <c r="D1185" s="13" t="str">
        <f>"PRESIDI MEDICO-CHIRURGICI GENERICI E AUSILI TECNICI PER DISABILI T"</f>
        <v>PRESIDI MEDICO-CHIRURGICI GENERICI E AUSILI TECNICI PER DISABILI T</v>
      </c>
      <c r="E1185" s="13" t="str">
        <f>"PAUL HARTMANN SPA a Socio Unico"</f>
        <v>PAUL HARTMANN SPA a Socio Unico</v>
      </c>
      <c r="F1185" s="13" t="s">
        <v>14</v>
      </c>
      <c r="G1185" s="15">
        <v>750</v>
      </c>
    </row>
    <row r="1186" spans="1:7" ht="22.5" x14ac:dyDescent="0.25">
      <c r="A1186" s="13">
        <v>13544</v>
      </c>
      <c r="B1186" s="14">
        <v>43425.548344907409</v>
      </c>
      <c r="C1186" s="13" t="s">
        <v>10</v>
      </c>
      <c r="D1186" s="13" t="str">
        <f t="shared" ref="D1186:D1193" si="84">"PRODOTTI FARMACEUTICI CON AIC"</f>
        <v>PRODOTTI FARMACEUTICI CON AIC</v>
      </c>
      <c r="E1186" s="13" t="str">
        <f t="shared" ref="E1186:E1192" si="85">"MYLAN SPA a Socio Unico"</f>
        <v>MYLAN SPA a Socio Unico</v>
      </c>
      <c r="F1186" s="13" t="s">
        <v>14</v>
      </c>
      <c r="G1186" s="15">
        <v>326.05</v>
      </c>
    </row>
    <row r="1187" spans="1:7" ht="22.5" x14ac:dyDescent="0.25">
      <c r="A1187" s="13">
        <v>13545</v>
      </c>
      <c r="B1187" s="14">
        <v>43425.548344907409</v>
      </c>
      <c r="C1187" s="13" t="s">
        <v>10</v>
      </c>
      <c r="D1187" s="13" t="str">
        <f t="shared" si="84"/>
        <v>PRODOTTI FARMACEUTICI CON AIC</v>
      </c>
      <c r="E1187" s="13" t="str">
        <f t="shared" si="85"/>
        <v>MYLAN SPA a Socio Unico</v>
      </c>
      <c r="F1187" s="13" t="s">
        <v>14</v>
      </c>
      <c r="G1187" s="15">
        <v>105.75</v>
      </c>
    </row>
    <row r="1188" spans="1:7" ht="22.5" x14ac:dyDescent="0.25">
      <c r="A1188" s="13">
        <v>13546</v>
      </c>
      <c r="B1188" s="14">
        <v>43425.548344907409</v>
      </c>
      <c r="C1188" s="13" t="s">
        <v>10</v>
      </c>
      <c r="D1188" s="13" t="str">
        <f t="shared" si="84"/>
        <v>PRODOTTI FARMACEUTICI CON AIC</v>
      </c>
      <c r="E1188" s="13" t="str">
        <f t="shared" si="85"/>
        <v>MYLAN SPA a Socio Unico</v>
      </c>
      <c r="F1188" s="13" t="s">
        <v>14</v>
      </c>
      <c r="G1188" s="15">
        <v>619.44000000000005</v>
      </c>
    </row>
    <row r="1189" spans="1:7" ht="22.5" x14ac:dyDescent="0.25">
      <c r="A1189" s="13">
        <v>13547</v>
      </c>
      <c r="B1189" s="14">
        <v>43425.548344907409</v>
      </c>
      <c r="C1189" s="13" t="s">
        <v>10</v>
      </c>
      <c r="D1189" s="13" t="str">
        <f t="shared" si="84"/>
        <v>PRODOTTI FARMACEUTICI CON AIC</v>
      </c>
      <c r="E1189" s="13" t="str">
        <f t="shared" si="85"/>
        <v>MYLAN SPA a Socio Unico</v>
      </c>
      <c r="F1189" s="13" t="s">
        <v>14</v>
      </c>
      <c r="G1189" s="15">
        <v>575.77</v>
      </c>
    </row>
    <row r="1190" spans="1:7" ht="22.5" x14ac:dyDescent="0.25">
      <c r="A1190" s="13">
        <v>13548</v>
      </c>
      <c r="B1190" s="14">
        <v>43425.548344907409</v>
      </c>
      <c r="C1190" s="13" t="s">
        <v>10</v>
      </c>
      <c r="D1190" s="13" t="str">
        <f t="shared" si="84"/>
        <v>PRODOTTI FARMACEUTICI CON AIC</v>
      </c>
      <c r="E1190" s="13" t="str">
        <f t="shared" si="85"/>
        <v>MYLAN SPA a Socio Unico</v>
      </c>
      <c r="F1190" s="13" t="s">
        <v>14</v>
      </c>
      <c r="G1190" s="15">
        <v>502.76</v>
      </c>
    </row>
    <row r="1191" spans="1:7" ht="22.5" x14ac:dyDescent="0.25">
      <c r="A1191" s="13">
        <v>13549</v>
      </c>
      <c r="B1191" s="14">
        <v>43425.548344907409</v>
      </c>
      <c r="C1191" s="13" t="s">
        <v>10</v>
      </c>
      <c r="D1191" s="13" t="str">
        <f t="shared" si="84"/>
        <v>PRODOTTI FARMACEUTICI CON AIC</v>
      </c>
      <c r="E1191" s="13" t="str">
        <f t="shared" si="85"/>
        <v>MYLAN SPA a Socio Unico</v>
      </c>
      <c r="F1191" s="13" t="s">
        <v>14</v>
      </c>
      <c r="G1191" s="15">
        <v>475.2</v>
      </c>
    </row>
    <row r="1192" spans="1:7" ht="22.5" x14ac:dyDescent="0.25">
      <c r="A1192" s="13">
        <v>13550</v>
      </c>
      <c r="B1192" s="14">
        <v>43425.548344907409</v>
      </c>
      <c r="C1192" s="13" t="s">
        <v>10</v>
      </c>
      <c r="D1192" s="13" t="str">
        <f t="shared" si="84"/>
        <v>PRODOTTI FARMACEUTICI CON AIC</v>
      </c>
      <c r="E1192" s="13" t="str">
        <f t="shared" si="85"/>
        <v>MYLAN SPA a Socio Unico</v>
      </c>
      <c r="F1192" s="13" t="s">
        <v>14</v>
      </c>
      <c r="G1192" s="15">
        <v>386.63</v>
      </c>
    </row>
    <row r="1193" spans="1:7" ht="22.5" x14ac:dyDescent="0.25">
      <c r="A1193" s="13">
        <v>13551</v>
      </c>
      <c r="B1193" s="14">
        <v>43425.548344907409</v>
      </c>
      <c r="C1193" s="13" t="s">
        <v>10</v>
      </c>
      <c r="D1193" s="13" t="str">
        <f t="shared" si="84"/>
        <v>PRODOTTI FARMACEUTICI CON AIC</v>
      </c>
      <c r="E1193" s="13" t="str">
        <f>"NEOPHARMED GENTILI SPA"</f>
        <v>NEOPHARMED GENTILI SPA</v>
      </c>
      <c r="F1193" s="13" t="s">
        <v>14</v>
      </c>
      <c r="G1193" s="15">
        <v>132.91999999999999</v>
      </c>
    </row>
    <row r="1194" spans="1:7" ht="22.5" x14ac:dyDescent="0.25">
      <c r="A1194" s="13">
        <v>13552</v>
      </c>
      <c r="B1194" s="14">
        <v>43425.548356481479</v>
      </c>
      <c r="C1194" s="13" t="s">
        <v>10</v>
      </c>
      <c r="D1194" s="13" t="str">
        <f>"ALTRI SERVIZI S.T."</f>
        <v>ALTRI SERVIZI S.T.</v>
      </c>
      <c r="E1194" s="13" t="str">
        <f>"SGS SRL"</f>
        <v>SGS SRL</v>
      </c>
      <c r="F1194" s="13" t="str">
        <f>"ALTRE SPESE PER SERV.NON SANITARI"</f>
        <v>ALTRE SPESE PER SERV.NON SANITARI</v>
      </c>
      <c r="G1194" s="15">
        <v>160</v>
      </c>
    </row>
    <row r="1195" spans="1:7" ht="33.75" x14ac:dyDescent="0.25">
      <c r="A1195" s="13">
        <v>13553</v>
      </c>
      <c r="B1195" s="14">
        <v>43425.548356481479</v>
      </c>
      <c r="C1195" s="13" t="s">
        <v>10</v>
      </c>
      <c r="D1195" s="13" t="str">
        <f>"APP.RE SANITARIE E RELATIVI COMPONENTI ACCESSORI E MATERIALE RADIOGRAFICO (Z)"</f>
        <v>APP.RE SANITARIE E RELATIVI COMPONENTI ACCESSORI E MATERIALE RADIOGRAFICO (Z)</v>
      </c>
      <c r="E1195" s="13" t="str">
        <f>"SAPIO LIFE SRL"</f>
        <v>SAPIO LIFE SRL</v>
      </c>
      <c r="F1195" s="13" t="s">
        <v>14</v>
      </c>
      <c r="G1195" s="15">
        <v>618.74</v>
      </c>
    </row>
    <row r="1196" spans="1:7" ht="33.75" x14ac:dyDescent="0.25">
      <c r="A1196" s="13">
        <v>13554</v>
      </c>
      <c r="B1196" s="14">
        <v>43425.548356481479</v>
      </c>
      <c r="C1196" s="13" t="s">
        <v>10</v>
      </c>
      <c r="D1196" s="13" t="str">
        <f>"APP.RE SANITARIE E RELATIVI COMPONENTI ACCESSORI E MATERIALE RADIOGRAFICO (Z)"</f>
        <v>APP.RE SANITARIE E RELATIVI COMPONENTI ACCESSORI E MATERIALE RADIOGRAFICO (Z)</v>
      </c>
      <c r="E1196" s="13" t="str">
        <f>"SMITH &amp; NEPHEW SRL Societa Unipersonale"</f>
        <v>SMITH &amp; NEPHEW SRL Societa Unipersonale</v>
      </c>
      <c r="F1196" s="13" t="s">
        <v>14</v>
      </c>
      <c r="G1196" s="15">
        <v>400</v>
      </c>
    </row>
    <row r="1197" spans="1:7" ht="22.5" x14ac:dyDescent="0.25">
      <c r="A1197" s="13">
        <v>13555</v>
      </c>
      <c r="B1197" s="14">
        <v>43425.548356481479</v>
      </c>
      <c r="C1197" s="13" t="s">
        <v>10</v>
      </c>
      <c r="D1197" s="13" t="str">
        <f>"CANONI NOLEGGIO APPARECCHIATURE SANITARIE"</f>
        <v>CANONI NOLEGGIO APPARECCHIATURE SANITARIE</v>
      </c>
      <c r="E1197" s="13" t="str">
        <f>"SICO Societa Italiana Carburo Ossigeno SPA"</f>
        <v>SICO Societa Italiana Carburo Ossigeno SPA</v>
      </c>
      <c r="F1197" s="13" t="s">
        <v>14</v>
      </c>
      <c r="G1197" s="15">
        <v>10</v>
      </c>
    </row>
    <row r="1198" spans="1:7" ht="22.5" x14ac:dyDescent="0.25">
      <c r="A1198" s="13">
        <v>13556</v>
      </c>
      <c r="B1198" s="14">
        <v>43425.548356481479</v>
      </c>
      <c r="C1198" s="13" t="s">
        <v>10</v>
      </c>
      <c r="D1198" s="13" t="str">
        <f>"FARMACI FILE F"</f>
        <v>FARMACI FILE F</v>
      </c>
      <c r="E1198" s="13" t="str">
        <f>"PFIZER ITALIA SRL"</f>
        <v>PFIZER ITALIA SRL</v>
      </c>
      <c r="F1198" s="13" t="s">
        <v>14</v>
      </c>
      <c r="G1198" s="15">
        <v>985.84</v>
      </c>
    </row>
    <row r="1199" spans="1:7" ht="22.5" x14ac:dyDescent="0.25">
      <c r="A1199" s="13">
        <v>13557</v>
      </c>
      <c r="B1199" s="14">
        <v>43425.548356481479</v>
      </c>
      <c r="C1199" s="13" t="s">
        <v>10</v>
      </c>
      <c r="D1199" s="13" t="str">
        <f t="shared" ref="D1199:D1205" si="86">"MATERIALE PROTESICO"</f>
        <v>MATERIALE PROTESICO</v>
      </c>
      <c r="E1199" s="13" t="str">
        <f t="shared" ref="E1199:E1205" si="87">"SMITH &amp; NEPHEW SRL Societa Unipersonale"</f>
        <v>SMITH &amp; NEPHEW SRL Societa Unipersonale</v>
      </c>
      <c r="F1199" s="13" t="s">
        <v>14</v>
      </c>
      <c r="G1199" s="15">
        <v>483.7</v>
      </c>
    </row>
    <row r="1200" spans="1:7" ht="22.5" x14ac:dyDescent="0.25">
      <c r="A1200" s="13">
        <v>13558</v>
      </c>
      <c r="B1200" s="14">
        <v>43425.548356481479</v>
      </c>
      <c r="C1200" s="13" t="s">
        <v>10</v>
      </c>
      <c r="D1200" s="13" t="str">
        <f t="shared" si="86"/>
        <v>MATERIALE PROTESICO</v>
      </c>
      <c r="E1200" s="13" t="str">
        <f t="shared" si="87"/>
        <v>SMITH &amp; NEPHEW SRL Societa Unipersonale</v>
      </c>
      <c r="F1200" s="13" t="s">
        <v>14</v>
      </c>
      <c r="G1200" s="15">
        <v>175</v>
      </c>
    </row>
    <row r="1201" spans="1:7" ht="22.5" x14ac:dyDescent="0.25">
      <c r="A1201" s="13">
        <v>13559</v>
      </c>
      <c r="B1201" s="14">
        <v>43425.548356481479</v>
      </c>
      <c r="C1201" s="13" t="s">
        <v>10</v>
      </c>
      <c r="D1201" s="13" t="str">
        <f t="shared" si="86"/>
        <v>MATERIALE PROTESICO</v>
      </c>
      <c r="E1201" s="13" t="str">
        <f t="shared" si="87"/>
        <v>SMITH &amp; NEPHEW SRL Societa Unipersonale</v>
      </c>
      <c r="F1201" s="13" t="s">
        <v>14</v>
      </c>
      <c r="G1201" s="15">
        <v>350</v>
      </c>
    </row>
    <row r="1202" spans="1:7" ht="22.5" x14ac:dyDescent="0.25">
      <c r="A1202" s="13">
        <v>13560</v>
      </c>
      <c r="B1202" s="14">
        <v>43425.548356481479</v>
      </c>
      <c r="C1202" s="13" t="s">
        <v>10</v>
      </c>
      <c r="D1202" s="13" t="str">
        <f t="shared" si="86"/>
        <v>MATERIALE PROTESICO</v>
      </c>
      <c r="E1202" s="13" t="str">
        <f t="shared" si="87"/>
        <v>SMITH &amp; NEPHEW SRL Societa Unipersonale</v>
      </c>
      <c r="F1202" s="13" t="s">
        <v>14</v>
      </c>
      <c r="G1202" s="15">
        <v>175</v>
      </c>
    </row>
    <row r="1203" spans="1:7" ht="22.5" x14ac:dyDescent="0.25">
      <c r="A1203" s="13">
        <v>13561</v>
      </c>
      <c r="B1203" s="14">
        <v>43425.548356481479</v>
      </c>
      <c r="C1203" s="13" t="s">
        <v>10</v>
      </c>
      <c r="D1203" s="13" t="str">
        <f t="shared" si="86"/>
        <v>MATERIALE PROTESICO</v>
      </c>
      <c r="E1203" s="13" t="str">
        <f t="shared" si="87"/>
        <v>SMITH &amp; NEPHEW SRL Societa Unipersonale</v>
      </c>
      <c r="F1203" s="13" t="s">
        <v>14</v>
      </c>
      <c r="G1203" s="15">
        <v>175</v>
      </c>
    </row>
    <row r="1204" spans="1:7" ht="22.5" x14ac:dyDescent="0.25">
      <c r="A1204" s="13">
        <v>13562</v>
      </c>
      <c r="B1204" s="14">
        <v>43425.548356481479</v>
      </c>
      <c r="C1204" s="13" t="s">
        <v>10</v>
      </c>
      <c r="D1204" s="13" t="str">
        <f t="shared" si="86"/>
        <v>MATERIALE PROTESICO</v>
      </c>
      <c r="E1204" s="13" t="str">
        <f t="shared" si="87"/>
        <v>SMITH &amp; NEPHEW SRL Societa Unipersonale</v>
      </c>
      <c r="F1204" s="13" t="s">
        <v>14</v>
      </c>
      <c r="G1204" s="15">
        <v>395</v>
      </c>
    </row>
    <row r="1205" spans="1:7" ht="22.5" x14ac:dyDescent="0.25">
      <c r="A1205" s="13">
        <v>13563</v>
      </c>
      <c r="B1205" s="14">
        <v>43425.548356481479</v>
      </c>
      <c r="C1205" s="13" t="s">
        <v>10</v>
      </c>
      <c r="D1205" s="13" t="str">
        <f t="shared" si="86"/>
        <v>MATERIALE PROTESICO</v>
      </c>
      <c r="E1205" s="13" t="str">
        <f t="shared" si="87"/>
        <v>SMITH &amp; NEPHEW SRL Societa Unipersonale</v>
      </c>
      <c r="F1205" s="13" t="s">
        <v>14</v>
      </c>
      <c r="G1205" s="15">
        <v>615</v>
      </c>
    </row>
    <row r="1206" spans="1:7" ht="22.5" x14ac:dyDescent="0.25">
      <c r="A1206" s="13">
        <v>13564</v>
      </c>
      <c r="B1206" s="14">
        <v>43425.548356481479</v>
      </c>
      <c r="C1206" s="13" t="s">
        <v>10</v>
      </c>
      <c r="D1206" s="13" t="str">
        <f>"OSSIGENO E GAS MEDICALI"</f>
        <v>OSSIGENO E GAS MEDICALI</v>
      </c>
      <c r="E1206" s="13" t="str">
        <f>"SICO Societa Italiana Carburo Ossigeno SPA"</f>
        <v>SICO Societa Italiana Carburo Ossigeno SPA</v>
      </c>
      <c r="F1206" s="13" t="str">
        <f>"ACQ.BENI SAN.DA ALTRE STR.SANITARIE"</f>
        <v>ACQ.BENI SAN.DA ALTRE STR.SANITARIE</v>
      </c>
      <c r="G1206" s="15">
        <v>1170.82</v>
      </c>
    </row>
    <row r="1207" spans="1:7" ht="22.5" x14ac:dyDescent="0.25">
      <c r="A1207" s="13">
        <v>13565</v>
      </c>
      <c r="B1207" s="14">
        <v>43425.548356481479</v>
      </c>
      <c r="C1207" s="13" t="s">
        <v>10</v>
      </c>
      <c r="D1207" s="13" t="str">
        <f>"PRODOTTI FARMACEUTICI CON AIC"</f>
        <v>PRODOTTI FARMACEUTICI CON AIC</v>
      </c>
      <c r="E1207" s="13" t="str">
        <f>"PFIZER ITALIA SRL"</f>
        <v>PFIZER ITALIA SRL</v>
      </c>
      <c r="F1207" s="13" t="s">
        <v>14</v>
      </c>
      <c r="G1207" s="15">
        <v>29.75</v>
      </c>
    </row>
    <row r="1208" spans="1:7" ht="22.5" x14ac:dyDescent="0.25">
      <c r="A1208" s="13">
        <v>13566</v>
      </c>
      <c r="B1208" s="14">
        <v>43425.548356481479</v>
      </c>
      <c r="C1208" s="13" t="s">
        <v>10</v>
      </c>
      <c r="D1208" s="13" t="str">
        <f>"PRODOTTI FARMACEUTICI CON AIC"</f>
        <v>PRODOTTI FARMACEUTICI CON AIC</v>
      </c>
      <c r="E1208" s="13" t="str">
        <f>"ROVI BIOTECH SRL"</f>
        <v>ROVI BIOTECH SRL</v>
      </c>
      <c r="F1208" s="13" t="s">
        <v>14</v>
      </c>
      <c r="G1208" s="15">
        <v>462</v>
      </c>
    </row>
    <row r="1209" spans="1:7" ht="33.75" x14ac:dyDescent="0.25">
      <c r="A1209" s="13">
        <v>13567</v>
      </c>
      <c r="B1209" s="14">
        <v>43425.548368055555</v>
      </c>
      <c r="C1209" s="13" t="s">
        <v>10</v>
      </c>
      <c r="D1209" s="13" t="str">
        <f>"APP.RE SANITARIE E RELATIVI COMPONENTI ACCESSORI E MATERIALE RADIOGRAFICO (Z)"</f>
        <v>APP.RE SANITARIE E RELATIVI COMPONENTI ACCESSORI E MATERIALE RADIOGRAFICO (Z)</v>
      </c>
      <c r="E1209" s="13" t="str">
        <f>"SPACELABS HEALTHCARE SRL"</f>
        <v>SPACELABS HEALTHCARE SRL</v>
      </c>
      <c r="F1209" s="13" t="s">
        <v>14</v>
      </c>
      <c r="G1209" s="15">
        <v>201.93</v>
      </c>
    </row>
    <row r="1210" spans="1:7" ht="22.5" x14ac:dyDescent="0.25">
      <c r="A1210" s="13">
        <v>13568</v>
      </c>
      <c r="B1210" s="14">
        <v>43425.548368055555</v>
      </c>
      <c r="C1210" s="13" t="s">
        <v>10</v>
      </c>
      <c r="D1210" s="13" t="str">
        <f t="shared" ref="D1210:D1220" si="88">"MATERIALE PROTESICO"</f>
        <v>MATERIALE PROTESICO</v>
      </c>
      <c r="E1210" s="13" t="str">
        <f>"SMITH &amp; NEPHEW SRL Societa Unipersonale"</f>
        <v>SMITH &amp; NEPHEW SRL Societa Unipersonale</v>
      </c>
      <c r="F1210" s="13" t="s">
        <v>14</v>
      </c>
      <c r="G1210" s="15">
        <v>2400</v>
      </c>
    </row>
    <row r="1211" spans="1:7" ht="22.5" x14ac:dyDescent="0.25">
      <c r="A1211" s="13">
        <v>13569</v>
      </c>
      <c r="B1211" s="14">
        <v>43425.548368055555</v>
      </c>
      <c r="C1211" s="13" t="s">
        <v>10</v>
      </c>
      <c r="D1211" s="13" t="str">
        <f t="shared" si="88"/>
        <v>MATERIALE PROTESICO</v>
      </c>
      <c r="E1211" s="13" t="str">
        <f>"SMITH &amp; NEPHEW SRL Societa Unipersonale"</f>
        <v>SMITH &amp; NEPHEW SRL Societa Unipersonale</v>
      </c>
      <c r="F1211" s="13" t="s">
        <v>14</v>
      </c>
      <c r="G1211" s="15">
        <v>175</v>
      </c>
    </row>
    <row r="1212" spans="1:7" ht="22.5" x14ac:dyDescent="0.25">
      <c r="A1212" s="13">
        <v>13570</v>
      </c>
      <c r="B1212" s="14">
        <v>43425.548368055555</v>
      </c>
      <c r="C1212" s="13" t="s">
        <v>10</v>
      </c>
      <c r="D1212" s="13" t="str">
        <f t="shared" si="88"/>
        <v>MATERIALE PROTESICO</v>
      </c>
      <c r="E1212" s="13" t="str">
        <f>"SMITH &amp; NEPHEW SRL Societa Unipersonale"</f>
        <v>SMITH &amp; NEPHEW SRL Societa Unipersonale</v>
      </c>
      <c r="F1212" s="13" t="s">
        <v>14</v>
      </c>
      <c r="G1212" s="15">
        <v>440</v>
      </c>
    </row>
    <row r="1213" spans="1:7" ht="22.5" x14ac:dyDescent="0.25">
      <c r="A1213" s="13">
        <v>13571</v>
      </c>
      <c r="B1213" s="14">
        <v>43425.548368055555</v>
      </c>
      <c r="C1213" s="13" t="s">
        <v>10</v>
      </c>
      <c r="D1213" s="13" t="str">
        <f t="shared" si="88"/>
        <v>MATERIALE PROTESICO</v>
      </c>
      <c r="E1213" s="13" t="str">
        <f>"SMITH &amp; NEPHEW SRL Societa Unipersonale"</f>
        <v>SMITH &amp; NEPHEW SRL Societa Unipersonale</v>
      </c>
      <c r="F1213" s="13" t="s">
        <v>14</v>
      </c>
      <c r="G1213" s="15">
        <v>220</v>
      </c>
    </row>
    <row r="1214" spans="1:7" ht="22.5" x14ac:dyDescent="0.25">
      <c r="A1214" s="13">
        <v>13572</v>
      </c>
      <c r="B1214" s="14">
        <v>43425.548368055555</v>
      </c>
      <c r="C1214" s="13" t="s">
        <v>10</v>
      </c>
      <c r="D1214" s="13" t="str">
        <f t="shared" si="88"/>
        <v>MATERIALE PROTESICO</v>
      </c>
      <c r="E1214" s="13" t="str">
        <f t="shared" ref="E1214:E1220" si="89">"STRYKER ITALIA SRL"</f>
        <v>STRYKER ITALIA SRL</v>
      </c>
      <c r="F1214" s="13" t="s">
        <v>14</v>
      </c>
      <c r="G1214" s="15">
        <v>373.23</v>
      </c>
    </row>
    <row r="1215" spans="1:7" ht="22.5" x14ac:dyDescent="0.25">
      <c r="A1215" s="13">
        <v>13573</v>
      </c>
      <c r="B1215" s="14">
        <v>43425.548368055555</v>
      </c>
      <c r="C1215" s="13" t="s">
        <v>10</v>
      </c>
      <c r="D1215" s="13" t="str">
        <f t="shared" si="88"/>
        <v>MATERIALE PROTESICO</v>
      </c>
      <c r="E1215" s="13" t="str">
        <f t="shared" si="89"/>
        <v>STRYKER ITALIA SRL</v>
      </c>
      <c r="F1215" s="13" t="s">
        <v>14</v>
      </c>
      <c r="G1215" s="15">
        <v>2832</v>
      </c>
    </row>
    <row r="1216" spans="1:7" ht="22.5" x14ac:dyDescent="0.25">
      <c r="A1216" s="13">
        <v>13574</v>
      </c>
      <c r="B1216" s="14">
        <v>43425.548368055555</v>
      </c>
      <c r="C1216" s="13" t="s">
        <v>10</v>
      </c>
      <c r="D1216" s="13" t="str">
        <f t="shared" si="88"/>
        <v>MATERIALE PROTESICO</v>
      </c>
      <c r="E1216" s="13" t="str">
        <f t="shared" si="89"/>
        <v>STRYKER ITALIA SRL</v>
      </c>
      <c r="F1216" s="13" t="s">
        <v>14</v>
      </c>
      <c r="G1216" s="15">
        <v>176</v>
      </c>
    </row>
    <row r="1217" spans="1:7" ht="22.5" x14ac:dyDescent="0.25">
      <c r="A1217" s="13">
        <v>13575</v>
      </c>
      <c r="B1217" s="14">
        <v>43425.548368055555</v>
      </c>
      <c r="C1217" s="13" t="s">
        <v>10</v>
      </c>
      <c r="D1217" s="13" t="str">
        <f t="shared" si="88"/>
        <v>MATERIALE PROTESICO</v>
      </c>
      <c r="E1217" s="13" t="str">
        <f t="shared" si="89"/>
        <v>STRYKER ITALIA SRL</v>
      </c>
      <c r="F1217" s="13" t="s">
        <v>14</v>
      </c>
      <c r="G1217" s="15">
        <v>176</v>
      </c>
    </row>
    <row r="1218" spans="1:7" ht="22.5" x14ac:dyDescent="0.25">
      <c r="A1218" s="13">
        <v>13576</v>
      </c>
      <c r="B1218" s="14">
        <v>43425.548368055555</v>
      </c>
      <c r="C1218" s="13" t="s">
        <v>10</v>
      </c>
      <c r="D1218" s="13" t="str">
        <f t="shared" si="88"/>
        <v>MATERIALE PROTESICO</v>
      </c>
      <c r="E1218" s="13" t="str">
        <f t="shared" si="89"/>
        <v>STRYKER ITALIA SRL</v>
      </c>
      <c r="F1218" s="13" t="s">
        <v>14</v>
      </c>
      <c r="G1218" s="15">
        <v>1394.26</v>
      </c>
    </row>
    <row r="1219" spans="1:7" ht="22.5" x14ac:dyDescent="0.25">
      <c r="A1219" s="13">
        <v>13577</v>
      </c>
      <c r="B1219" s="14">
        <v>43425.548368055555</v>
      </c>
      <c r="C1219" s="13" t="s">
        <v>10</v>
      </c>
      <c r="D1219" s="13" t="str">
        <f t="shared" si="88"/>
        <v>MATERIALE PROTESICO</v>
      </c>
      <c r="E1219" s="13" t="str">
        <f t="shared" si="89"/>
        <v>STRYKER ITALIA SRL</v>
      </c>
      <c r="F1219" s="13" t="s">
        <v>14</v>
      </c>
      <c r="G1219" s="15">
        <v>504.6</v>
      </c>
    </row>
    <row r="1220" spans="1:7" ht="22.5" x14ac:dyDescent="0.25">
      <c r="A1220" s="13">
        <v>13578</v>
      </c>
      <c r="B1220" s="14">
        <v>43425.548368055555</v>
      </c>
      <c r="C1220" s="13" t="s">
        <v>10</v>
      </c>
      <c r="D1220" s="13" t="str">
        <f t="shared" si="88"/>
        <v>MATERIALE PROTESICO</v>
      </c>
      <c r="E1220" s="13" t="str">
        <f t="shared" si="89"/>
        <v>STRYKER ITALIA SRL</v>
      </c>
      <c r="F1220" s="13" t="s">
        <v>14</v>
      </c>
      <c r="G1220" s="15">
        <v>3068.1</v>
      </c>
    </row>
    <row r="1221" spans="1:7" ht="22.5" x14ac:dyDescent="0.25">
      <c r="A1221" s="13">
        <v>13579</v>
      </c>
      <c r="B1221" s="14">
        <v>43425.548368055555</v>
      </c>
      <c r="C1221" s="13" t="s">
        <v>10</v>
      </c>
      <c r="D1221" s="13" t="str">
        <f>"PRESIDI MEDICO-CHIRURGICI SPECIALISTICI R"</f>
        <v>PRESIDI MEDICO-CHIRURGICI SPECIALISTICI R</v>
      </c>
      <c r="E1221" s="13" t="str">
        <f>"SMITHS MEDICAL ITALIA SRL"</f>
        <v>SMITHS MEDICAL ITALIA SRL</v>
      </c>
      <c r="F1221" s="13" t="s">
        <v>14</v>
      </c>
      <c r="G1221" s="15">
        <v>1800</v>
      </c>
    </row>
    <row r="1222" spans="1:7" ht="22.5" x14ac:dyDescent="0.25">
      <c r="A1222" s="13">
        <v>13580</v>
      </c>
      <c r="B1222" s="14">
        <v>43425.548368055555</v>
      </c>
      <c r="C1222" s="13" t="s">
        <v>10</v>
      </c>
      <c r="D1222" s="13" t="str">
        <f>"STRUMENTARIO CHIRURGICO (K, L)"</f>
        <v>STRUMENTARIO CHIRURGICO (K, L)</v>
      </c>
      <c r="E1222" s="13" t="str">
        <f>"SMITH &amp; NEPHEW SRL Societa Unipersonale"</f>
        <v>SMITH &amp; NEPHEW SRL Societa Unipersonale</v>
      </c>
      <c r="F1222" s="13" t="s">
        <v>14</v>
      </c>
      <c r="G1222" s="15">
        <v>450</v>
      </c>
    </row>
    <row r="1223" spans="1:7" ht="22.5" x14ac:dyDescent="0.25">
      <c r="A1223" s="13">
        <v>13581</v>
      </c>
      <c r="B1223" s="14">
        <v>43425.548368055555</v>
      </c>
      <c r="C1223" s="13" t="s">
        <v>10</v>
      </c>
      <c r="D1223" s="13" t="str">
        <f>"STRUMENTARIO CHIRURGICO (K, L)"</f>
        <v>STRUMENTARIO CHIRURGICO (K, L)</v>
      </c>
      <c r="E1223" s="13" t="str">
        <f>"SMITH &amp; NEPHEW SRL Societa Unipersonale"</f>
        <v>SMITH &amp; NEPHEW SRL Societa Unipersonale</v>
      </c>
      <c r="F1223" s="13" t="s">
        <v>14</v>
      </c>
      <c r="G1223" s="15">
        <v>315</v>
      </c>
    </row>
    <row r="1224" spans="1:7" ht="22.5" x14ac:dyDescent="0.25">
      <c r="A1224" s="13">
        <v>13582</v>
      </c>
      <c r="B1224" s="14">
        <v>43425.548368055555</v>
      </c>
      <c r="C1224" s="13" t="s">
        <v>10</v>
      </c>
      <c r="D1224" s="13" t="str">
        <f>"STRUMENTARIO CHIRURGICO (K, L)"</f>
        <v>STRUMENTARIO CHIRURGICO (K, L)</v>
      </c>
      <c r="E1224" s="13" t="str">
        <f>"SMITH &amp; NEPHEW SRL Societa Unipersonale"</f>
        <v>SMITH &amp; NEPHEW SRL Societa Unipersonale</v>
      </c>
      <c r="F1224" s="13" t="s">
        <v>14</v>
      </c>
      <c r="G1224" s="15">
        <v>315</v>
      </c>
    </row>
    <row r="1225" spans="1:7" ht="22.5" x14ac:dyDescent="0.25">
      <c r="A1225" s="13">
        <v>13583</v>
      </c>
      <c r="B1225" s="14">
        <v>43425.548368055555</v>
      </c>
      <c r="C1225" s="13" t="s">
        <v>10</v>
      </c>
      <c r="D1225" s="13" t="str">
        <f>"STRUMENTARIO CHIRURGICO (K, L)"</f>
        <v>STRUMENTARIO CHIRURGICO (K, L)</v>
      </c>
      <c r="E1225" s="13" t="str">
        <f>"SMITH &amp; NEPHEW SRL Societa Unipersonale"</f>
        <v>SMITH &amp; NEPHEW SRL Societa Unipersonale</v>
      </c>
      <c r="F1225" s="13" t="s">
        <v>14</v>
      </c>
      <c r="G1225" s="15">
        <v>45</v>
      </c>
    </row>
    <row r="1226" spans="1:7" ht="22.5" x14ac:dyDescent="0.25">
      <c r="A1226" s="13">
        <v>13584</v>
      </c>
      <c r="B1226" s="14">
        <v>43425.548379629632</v>
      </c>
      <c r="C1226" s="13" t="s">
        <v>10</v>
      </c>
      <c r="D1226" s="13" t="str">
        <f>"ALTRI CANONI DI NOLEGGIO"</f>
        <v>ALTRI CANONI DI NOLEGGIO</v>
      </c>
      <c r="E1226" s="13" t="str">
        <f>"ALD AUTOMOTIVE ITALIA SRL"</f>
        <v>ALD AUTOMOTIVE ITALIA SRL</v>
      </c>
      <c r="F1226" s="13" t="s">
        <v>14</v>
      </c>
      <c r="G1226" s="15">
        <v>227.45</v>
      </c>
    </row>
    <row r="1227" spans="1:7" ht="22.5" x14ac:dyDescent="0.25">
      <c r="A1227" s="13">
        <v>13585</v>
      </c>
      <c r="B1227" s="14">
        <v>43425.548379629632</v>
      </c>
      <c r="C1227" s="13" t="s">
        <v>10</v>
      </c>
      <c r="D1227" s="13" t="str">
        <f>"CONSULENZE SANITARIE DA PRIVATO"</f>
        <v>CONSULENZE SANITARIE DA PRIVATO</v>
      </c>
      <c r="E1227" s="13" t="str">
        <f>"ARTUSI CAROLINA"</f>
        <v>ARTUSI CAROLINA</v>
      </c>
      <c r="F1227" s="13" t="s">
        <v>14</v>
      </c>
      <c r="G1227" s="15">
        <v>1614</v>
      </c>
    </row>
    <row r="1228" spans="1:7" ht="22.5" x14ac:dyDescent="0.25">
      <c r="A1228" s="13">
        <v>13586</v>
      </c>
      <c r="B1228" s="14">
        <v>43425.548379629632</v>
      </c>
      <c r="C1228" s="13" t="s">
        <v>10</v>
      </c>
      <c r="D1228" s="13" t="str">
        <f>"CANONI NOLEGGIO APPARECCHIATURE SANITARIE"</f>
        <v>CANONI NOLEGGIO APPARECCHIATURE SANITARIE</v>
      </c>
      <c r="E1228" s="13" t="str">
        <f>"A. MENARINI DIAGNOSTICS SRL a Socio Unico"</f>
        <v>A. MENARINI DIAGNOSTICS SRL a Socio Unico</v>
      </c>
      <c r="F1228" s="13" t="s">
        <v>14</v>
      </c>
      <c r="G1228" s="15">
        <v>877.5</v>
      </c>
    </row>
    <row r="1229" spans="1:7" ht="22.5" x14ac:dyDescent="0.25">
      <c r="A1229" s="13">
        <v>13587</v>
      </c>
      <c r="B1229" s="14">
        <v>43425.548379629632</v>
      </c>
      <c r="C1229" s="13" t="s">
        <v>11</v>
      </c>
      <c r="D1229" s="13" t="str">
        <f>"FONDO RISCHI"</f>
        <v>FONDO RISCHI</v>
      </c>
      <c r="E1229" s="13" t="str">
        <f>"BAMONTE SIMONA"</f>
        <v>BAMONTE SIMONA</v>
      </c>
      <c r="F1229" s="13" t="str">
        <f>"Risarcimento danni sinistro"</f>
        <v>Risarcimento danni sinistro</v>
      </c>
      <c r="G1229" s="15">
        <v>3000</v>
      </c>
    </row>
    <row r="1230" spans="1:7" ht="22.5" x14ac:dyDescent="0.25">
      <c r="A1230" s="13">
        <v>13588</v>
      </c>
      <c r="B1230" s="14">
        <v>43425.548379629632</v>
      </c>
      <c r="C1230" s="13" t="s">
        <v>11</v>
      </c>
      <c r="D1230" s="13" t="str">
        <f>"FONDO RISCHI"</f>
        <v>FONDO RISCHI</v>
      </c>
      <c r="E1230" s="13" t="str">
        <f>"RISARCISKO SNC Consulenti Gestione Risarcimento"</f>
        <v>RISARCISKO SNC Consulenti Gestione Risarcimento</v>
      </c>
      <c r="F1230" s="13" t="str">
        <f>"SPESE LEGALI"</f>
        <v>SPESE LEGALI</v>
      </c>
      <c r="G1230" s="15">
        <v>183</v>
      </c>
    </row>
    <row r="1231" spans="1:7" ht="22.5" x14ac:dyDescent="0.25">
      <c r="A1231" s="13">
        <v>13589</v>
      </c>
      <c r="B1231" s="14">
        <v>43425.548379629632</v>
      </c>
      <c r="C1231" s="13" t="s">
        <v>10</v>
      </c>
      <c r="D1231" s="13" t="str">
        <f t="shared" ref="D1231:D1236" si="90">"FT RIC BENI/SERVIZI NON SANITARI"</f>
        <v>FT RIC BENI/SERVIZI NON SANITARI</v>
      </c>
      <c r="E1231" s="13" t="str">
        <f t="shared" ref="E1231:E1236" si="91">"CO.L.SER SERVIZI SCRL"</f>
        <v>CO.L.SER SERVIZI SCRL</v>
      </c>
      <c r="F1231" s="13" t="str">
        <f t="shared" ref="F1231:F1236" si="92">"SERVIZI AUSILIARI E SPESE PULIZIA"</f>
        <v>SERVIZI AUSILIARI E SPESE PULIZIA</v>
      </c>
      <c r="G1231" s="15">
        <v>32656.53</v>
      </c>
    </row>
    <row r="1232" spans="1:7" ht="22.5" x14ac:dyDescent="0.25">
      <c r="A1232" s="13">
        <v>13590</v>
      </c>
      <c r="B1232" s="14">
        <v>43425.548379629632</v>
      </c>
      <c r="C1232" s="13" t="s">
        <v>10</v>
      </c>
      <c r="D1232" s="13" t="str">
        <f t="shared" si="90"/>
        <v>FT RIC BENI/SERVIZI NON SANITARI</v>
      </c>
      <c r="E1232" s="13" t="str">
        <f t="shared" si="91"/>
        <v>CO.L.SER SERVIZI SCRL</v>
      </c>
      <c r="F1232" s="13" t="str">
        <f t="shared" si="92"/>
        <v>SERVIZI AUSILIARI E SPESE PULIZIA</v>
      </c>
      <c r="G1232" s="15">
        <v>33211.1</v>
      </c>
    </row>
    <row r="1233" spans="1:7" ht="22.5" x14ac:dyDescent="0.25">
      <c r="A1233" s="13">
        <v>13591</v>
      </c>
      <c r="B1233" s="14">
        <v>43425.548379629632</v>
      </c>
      <c r="C1233" s="13" t="s">
        <v>10</v>
      </c>
      <c r="D1233" s="13" t="str">
        <f t="shared" si="90"/>
        <v>FT RIC BENI/SERVIZI NON SANITARI</v>
      </c>
      <c r="E1233" s="13" t="str">
        <f t="shared" si="91"/>
        <v>CO.L.SER SERVIZI SCRL</v>
      </c>
      <c r="F1233" s="13" t="str">
        <f t="shared" si="92"/>
        <v>SERVIZI AUSILIARI E SPESE PULIZIA</v>
      </c>
      <c r="G1233" s="15">
        <v>29358.67</v>
      </c>
    </row>
    <row r="1234" spans="1:7" ht="22.5" x14ac:dyDescent="0.25">
      <c r="A1234" s="13">
        <v>13592</v>
      </c>
      <c r="B1234" s="14">
        <v>43425.548379629632</v>
      </c>
      <c r="C1234" s="13" t="s">
        <v>10</v>
      </c>
      <c r="D1234" s="13" t="str">
        <f t="shared" si="90"/>
        <v>FT RIC BENI/SERVIZI NON SANITARI</v>
      </c>
      <c r="E1234" s="13" t="str">
        <f t="shared" si="91"/>
        <v>CO.L.SER SERVIZI SCRL</v>
      </c>
      <c r="F1234" s="13" t="str">
        <f t="shared" si="92"/>
        <v>SERVIZI AUSILIARI E SPESE PULIZIA</v>
      </c>
      <c r="G1234" s="15">
        <v>31986.07</v>
      </c>
    </row>
    <row r="1235" spans="1:7" ht="22.5" x14ac:dyDescent="0.25">
      <c r="A1235" s="13">
        <v>13593</v>
      </c>
      <c r="B1235" s="14">
        <v>43425.548379629632</v>
      </c>
      <c r="C1235" s="13" t="s">
        <v>10</v>
      </c>
      <c r="D1235" s="13" t="str">
        <f t="shared" si="90"/>
        <v>FT RIC BENI/SERVIZI NON SANITARI</v>
      </c>
      <c r="E1235" s="13" t="str">
        <f t="shared" si="91"/>
        <v>CO.L.SER SERVIZI SCRL</v>
      </c>
      <c r="F1235" s="13" t="str">
        <f t="shared" si="92"/>
        <v>SERVIZI AUSILIARI E SPESE PULIZIA</v>
      </c>
      <c r="G1235" s="15">
        <v>33211.1</v>
      </c>
    </row>
    <row r="1236" spans="1:7" ht="22.5" x14ac:dyDescent="0.25">
      <c r="A1236" s="13">
        <v>13594</v>
      </c>
      <c r="B1236" s="14">
        <v>43425.548379629632</v>
      </c>
      <c r="C1236" s="13" t="s">
        <v>10</v>
      </c>
      <c r="D1236" s="13" t="str">
        <f t="shared" si="90"/>
        <v>FT RIC BENI/SERVIZI NON SANITARI</v>
      </c>
      <c r="E1236" s="13" t="str">
        <f t="shared" si="91"/>
        <v>CO.L.SER SERVIZI SCRL</v>
      </c>
      <c r="F1236" s="13" t="str">
        <f t="shared" si="92"/>
        <v>SERVIZI AUSILIARI E SPESE PULIZIA</v>
      </c>
      <c r="G1236" s="15">
        <v>32903.01</v>
      </c>
    </row>
    <row r="1237" spans="1:7" ht="22.5" x14ac:dyDescent="0.25">
      <c r="A1237" s="13">
        <v>13595</v>
      </c>
      <c r="B1237" s="14">
        <v>43425.548379629632</v>
      </c>
      <c r="C1237" s="13" t="s">
        <v>10</v>
      </c>
      <c r="D1237" s="13" t="str">
        <f>"MATERIALE PROTESICO"</f>
        <v>MATERIALE PROTESICO</v>
      </c>
      <c r="E1237" s="13" t="str">
        <f>"UNIMEDICAL BIO.TECH. SRL"</f>
        <v>UNIMEDICAL BIO.TECH. SRL</v>
      </c>
      <c r="F1237" s="13" t="s">
        <v>14</v>
      </c>
      <c r="G1237" s="15">
        <v>700</v>
      </c>
    </row>
    <row r="1238" spans="1:7" ht="22.5" x14ac:dyDescent="0.25">
      <c r="A1238" s="13">
        <v>13596</v>
      </c>
      <c r="B1238" s="14">
        <v>43425.548379629632</v>
      </c>
      <c r="C1238" s="13" t="s">
        <v>10</v>
      </c>
      <c r="D1238" s="13" t="str">
        <f>"MATERIALE PROTESICO"</f>
        <v>MATERIALE PROTESICO</v>
      </c>
      <c r="E1238" s="13" t="str">
        <f>"WRIGHT MEDICAL ITALY SRL a Socio Unico"</f>
        <v>WRIGHT MEDICAL ITALY SRL a Socio Unico</v>
      </c>
      <c r="F1238" s="13" t="s">
        <v>14</v>
      </c>
      <c r="G1238" s="15">
        <v>463.2</v>
      </c>
    </row>
    <row r="1239" spans="1:7" ht="22.5" x14ac:dyDescent="0.25">
      <c r="A1239" s="13">
        <v>13597</v>
      </c>
      <c r="B1239" s="14">
        <v>43425.548379629632</v>
      </c>
      <c r="C1239" s="13" t="s">
        <v>10</v>
      </c>
      <c r="D1239" s="13" t="str">
        <f>"SERVIZIO DI PULIZIA E DISINFESTAZIONE"</f>
        <v>SERVIZIO DI PULIZIA E DISINFESTAZIONE</v>
      </c>
      <c r="E1239" s="13" t="str">
        <f>"CO.L.SER SERVIZI SCRL"</f>
        <v>CO.L.SER SERVIZI SCRL</v>
      </c>
      <c r="F1239" s="13" t="s">
        <v>28</v>
      </c>
      <c r="G1239" s="15">
        <v>31894.89</v>
      </c>
    </row>
    <row r="1240" spans="1:7" ht="22.5" x14ac:dyDescent="0.25">
      <c r="A1240" s="13">
        <v>13598</v>
      </c>
      <c r="B1240" s="14">
        <v>43425.693506944444</v>
      </c>
      <c r="C1240" s="13" t="s">
        <v>10</v>
      </c>
      <c r="D1240" s="13" t="str">
        <f>"ALTRE SPESE PER SERV.NON SANITARI"</f>
        <v>ALTRE SPESE PER SERV.NON SANITARI</v>
      </c>
      <c r="E1240" s="13" t="str">
        <f>"ASST NORD OPERAZIONI DI CONFERIMENTO/SCORPORO LR23/2015"</f>
        <v>ASST NORD OPERAZIONI DI CONFERIMENTO/SCORPORO LR23/2015</v>
      </c>
      <c r="F1240" s="13" t="str">
        <f>"ALTRE SPESE PER SERV.NON SANITARI"</f>
        <v>ALTRE SPESE PER SERV.NON SANITARI</v>
      </c>
      <c r="G1240" s="15">
        <v>1312658.8899999999</v>
      </c>
    </row>
    <row r="1241" spans="1:7" ht="22.5" x14ac:dyDescent="0.25">
      <c r="A1241" s="13">
        <v>13599</v>
      </c>
      <c r="B1241" s="14">
        <v>43425.695740740739</v>
      </c>
      <c r="C1241" s="13" t="s">
        <v>10</v>
      </c>
      <c r="D1241" s="13" t="str">
        <f>"ALTRI CANONI DI NOLEGGIO"</f>
        <v>ALTRI CANONI DI NOLEGGIO</v>
      </c>
      <c r="E1241" s="13" t="str">
        <f>"SERVICE MED SRL"</f>
        <v>SERVICE MED SRL</v>
      </c>
      <c r="F1241" s="13" t="s">
        <v>14</v>
      </c>
      <c r="G1241" s="15">
        <v>2282.3200000000002</v>
      </c>
    </row>
    <row r="1242" spans="1:7" ht="22.5" x14ac:dyDescent="0.25">
      <c r="A1242" s="13">
        <v>13600</v>
      </c>
      <c r="B1242" s="14">
        <v>43425.695740740739</v>
      </c>
      <c r="C1242" s="13" t="s">
        <v>10</v>
      </c>
      <c r="D1242" s="13" t="str">
        <f>"ALTRI CANONI DI NOLEGGIO"</f>
        <v>ALTRI CANONI DI NOLEGGIO</v>
      </c>
      <c r="E1242" s="13" t="str">
        <f>"SERVICE MED SRL"</f>
        <v>SERVICE MED SRL</v>
      </c>
      <c r="F1242" s="13" t="s">
        <v>14</v>
      </c>
      <c r="G1242" s="15">
        <v>1679.1</v>
      </c>
    </row>
    <row r="1243" spans="1:7" ht="22.5" x14ac:dyDescent="0.25">
      <c r="A1243" s="13">
        <v>13601</v>
      </c>
      <c r="B1243" s="14">
        <v>43425.695740740739</v>
      </c>
      <c r="C1243" s="13" t="s">
        <v>10</v>
      </c>
      <c r="D1243" s="13" t="str">
        <f>"NC. DA RICEVERE"</f>
        <v>NC. DA RICEVERE</v>
      </c>
      <c r="E1243" s="13" t="str">
        <f>"SERVICE MED SRL"</f>
        <v>SERVICE MED SRL</v>
      </c>
      <c r="F1243" s="13" t="s">
        <v>14</v>
      </c>
      <c r="G1243" s="15">
        <v>-43.5</v>
      </c>
    </row>
    <row r="1244" spans="1:7" ht="22.5" x14ac:dyDescent="0.25">
      <c r="A1244" s="13">
        <v>13602</v>
      </c>
      <c r="B1244" s="14">
        <v>43427.491967592592</v>
      </c>
      <c r="C1244" s="13" t="s">
        <v>10</v>
      </c>
      <c r="D1244" s="13" t="str">
        <f>"FARMACI FILE F"</f>
        <v>FARMACI FILE F</v>
      </c>
      <c r="E1244" s="13" t="str">
        <f>"ABBVIE SRL a Socio Unico"</f>
        <v>ABBVIE SRL a Socio Unico</v>
      </c>
      <c r="F1244" s="13" t="s">
        <v>14</v>
      </c>
      <c r="G1244" s="15">
        <v>57114.64</v>
      </c>
    </row>
    <row r="1245" spans="1:7" ht="33.75" x14ac:dyDescent="0.25">
      <c r="A1245" s="13">
        <v>13603</v>
      </c>
      <c r="B1245" s="14">
        <v>43427.491979166669</v>
      </c>
      <c r="C1245" s="13" t="s">
        <v>10</v>
      </c>
      <c r="D1245" s="13" t="str">
        <f>"APP.RE SANITARIE E RELATIVI COMPONENTI ACCESSORI E MATERIALE RADIOGRAFICO (Z)"</f>
        <v>APP.RE SANITARIE E RELATIVI COMPONENTI ACCESSORI E MATERIALE RADIOGRAFICO (Z)</v>
      </c>
      <c r="E1245" s="13" t="str">
        <f>"ARTHREX ITALIA SRL"</f>
        <v>ARTHREX ITALIA SRL</v>
      </c>
      <c r="F1245" s="13" t="s">
        <v>14</v>
      </c>
      <c r="G1245" s="15">
        <v>1400</v>
      </c>
    </row>
    <row r="1246" spans="1:7" ht="33.75" x14ac:dyDescent="0.25">
      <c r="A1246" s="13">
        <v>13604</v>
      </c>
      <c r="B1246" s="14">
        <v>43427.491979166669</v>
      </c>
      <c r="C1246" s="13" t="s">
        <v>10</v>
      </c>
      <c r="D1246" s="13" t="str">
        <f>"DISINFETTANTI, PRODOTTI PER STERILIZZAZIONE E DISPOSITIVI VARI V"</f>
        <v>DISINFETTANTI, PRODOTTI PER STERILIZZAZIONE E DISPOSITIVI VARI V</v>
      </c>
      <c r="E1246" s="13" t="str">
        <f>"CHINESPORT SPA"</f>
        <v>CHINESPORT SPA</v>
      </c>
      <c r="F1246" s="13" t="s">
        <v>14</v>
      </c>
      <c r="G1246" s="15">
        <v>3174</v>
      </c>
    </row>
    <row r="1247" spans="1:7" ht="22.5" x14ac:dyDescent="0.25">
      <c r="A1247" s="13">
        <v>13605</v>
      </c>
      <c r="B1247" s="14">
        <v>43427.491979166669</v>
      </c>
      <c r="C1247" s="13" t="s">
        <v>10</v>
      </c>
      <c r="D1247" s="13" t="str">
        <f>"FARMACI FILE F"</f>
        <v>FARMACI FILE F</v>
      </c>
      <c r="E1247" s="13" t="str">
        <f>"BIOGEN ITALIA SRL"</f>
        <v>BIOGEN ITALIA SRL</v>
      </c>
      <c r="F1247" s="13" t="s">
        <v>14</v>
      </c>
      <c r="G1247" s="15">
        <v>4707.84</v>
      </c>
    </row>
    <row r="1248" spans="1:7" ht="22.5" x14ac:dyDescent="0.25">
      <c r="A1248" s="13">
        <v>13606</v>
      </c>
      <c r="B1248" s="14">
        <v>43427.491979166669</v>
      </c>
      <c r="C1248" s="13" t="s">
        <v>10</v>
      </c>
      <c r="D1248" s="13" t="str">
        <f>"FARMACI FILE F"</f>
        <v>FARMACI FILE F</v>
      </c>
      <c r="E1248" s="13" t="str">
        <f>"BIOGEN ITALIA SRL"</f>
        <v>BIOGEN ITALIA SRL</v>
      </c>
      <c r="F1248" s="13" t="s">
        <v>14</v>
      </c>
      <c r="G1248" s="15">
        <v>5884.8</v>
      </c>
    </row>
    <row r="1249" spans="1:7" ht="22.5" x14ac:dyDescent="0.25">
      <c r="A1249" s="13">
        <v>13607</v>
      </c>
      <c r="B1249" s="14">
        <v>43427.491979166669</v>
      </c>
      <c r="C1249" s="13" t="s">
        <v>10</v>
      </c>
      <c r="D1249" s="13" t="str">
        <f>"FARMACI FILE F"</f>
        <v>FARMACI FILE F</v>
      </c>
      <c r="E1249" s="13" t="str">
        <f>"BIOGEN ITALIA SRL"</f>
        <v>BIOGEN ITALIA SRL</v>
      </c>
      <c r="F1249" s="13" t="s">
        <v>14</v>
      </c>
      <c r="G1249" s="15">
        <v>3530.88</v>
      </c>
    </row>
    <row r="1250" spans="1:7" ht="22.5" x14ac:dyDescent="0.25">
      <c r="A1250" s="13">
        <v>13608</v>
      </c>
      <c r="B1250" s="14">
        <v>43427.491979166669</v>
      </c>
      <c r="C1250" s="13" t="s">
        <v>10</v>
      </c>
      <c r="D1250" s="13" t="str">
        <f>"MATERIALE PROTESICO"</f>
        <v>MATERIALE PROTESICO</v>
      </c>
      <c r="E1250" s="13" t="str">
        <f>"ARTHREX ITALIA SRL"</f>
        <v>ARTHREX ITALIA SRL</v>
      </c>
      <c r="F1250" s="13" t="s">
        <v>14</v>
      </c>
      <c r="G1250" s="15">
        <v>2500</v>
      </c>
    </row>
    <row r="1251" spans="1:7" ht="22.5" x14ac:dyDescent="0.25">
      <c r="A1251" s="13">
        <v>13609</v>
      </c>
      <c r="B1251" s="14">
        <v>43427.491979166669</v>
      </c>
      <c r="C1251" s="13" t="s">
        <v>10</v>
      </c>
      <c r="D1251" s="13" t="str">
        <f>"MATERIALE PROTESICO"</f>
        <v>MATERIALE PROTESICO</v>
      </c>
      <c r="E1251" s="13" t="str">
        <f>"ARTHREX ITALIA SRL"</f>
        <v>ARTHREX ITALIA SRL</v>
      </c>
      <c r="F1251" s="13" t="s">
        <v>14</v>
      </c>
      <c r="G1251" s="15">
        <v>393.12</v>
      </c>
    </row>
    <row r="1252" spans="1:7" ht="22.5" x14ac:dyDescent="0.25">
      <c r="A1252" s="13">
        <v>13610</v>
      </c>
      <c r="B1252" s="14">
        <v>43427.491979166669</v>
      </c>
      <c r="C1252" s="13" t="s">
        <v>10</v>
      </c>
      <c r="D1252" s="13" t="str">
        <f>"MATERIALE PROTESICO"</f>
        <v>MATERIALE PROTESICO</v>
      </c>
      <c r="E1252" s="13" t="str">
        <f>"ARTHREX ITALIA SRL"</f>
        <v>ARTHREX ITALIA SRL</v>
      </c>
      <c r="F1252" s="13" t="s">
        <v>14</v>
      </c>
      <c r="G1252" s="15">
        <v>390</v>
      </c>
    </row>
    <row r="1253" spans="1:7" ht="33.75" x14ac:dyDescent="0.25">
      <c r="A1253" s="13">
        <v>13611</v>
      </c>
      <c r="B1253" s="14">
        <v>43427.491979166669</v>
      </c>
      <c r="C1253" s="13" t="s">
        <v>10</v>
      </c>
      <c r="D1253" s="13" t="str">
        <f>"PRESIDI MEDICO-CHIRURGICI GENERICI E AUSILI TECNICI PER DISABILI H"</f>
        <v>PRESIDI MEDICO-CHIRURGICI GENERICI E AUSILI TECNICI PER DISABILI H</v>
      </c>
      <c r="E1253" s="13" t="str">
        <f>"B. BRAUN MILANO SPA a Socio Unico"</f>
        <v>B. BRAUN MILANO SPA a Socio Unico</v>
      </c>
      <c r="F1253" s="13" t="s">
        <v>14</v>
      </c>
      <c r="G1253" s="15">
        <v>282.60000000000002</v>
      </c>
    </row>
    <row r="1254" spans="1:7" ht="22.5" x14ac:dyDescent="0.25">
      <c r="A1254" s="13">
        <v>13612</v>
      </c>
      <c r="B1254" s="14">
        <v>43427.491979166669</v>
      </c>
      <c r="C1254" s="13" t="s">
        <v>10</v>
      </c>
      <c r="D1254" s="13" t="str">
        <f>"SERVIZIO DI PULIZIA E DISINFESTAZIONE"</f>
        <v>SERVIZIO DI PULIZIA E DISINFESTAZIONE</v>
      </c>
      <c r="E1254" s="13" t="str">
        <f>"CO.L.SER SERVIZI SCRL"</f>
        <v>CO.L.SER SERVIZI SCRL</v>
      </c>
      <c r="F1254" s="13" t="s">
        <v>28</v>
      </c>
      <c r="G1254" s="15">
        <v>33030.04</v>
      </c>
    </row>
    <row r="1255" spans="1:7" ht="22.5" x14ac:dyDescent="0.25">
      <c r="A1255" s="13">
        <v>13613</v>
      </c>
      <c r="B1255" s="14">
        <v>43427.491979166669</v>
      </c>
      <c r="C1255" s="13" t="s">
        <v>10</v>
      </c>
      <c r="D1255" s="13" t="str">
        <f>"SERVIZIO DI PULIZIA E DISINFESTAZIONE"</f>
        <v>SERVIZIO DI PULIZIA E DISINFESTAZIONE</v>
      </c>
      <c r="E1255" s="13" t="str">
        <f>"CO.L.SER SERVIZI SCRL"</f>
        <v>CO.L.SER SERVIZI SCRL</v>
      </c>
      <c r="F1255" s="13" t="s">
        <v>28</v>
      </c>
      <c r="G1255" s="15">
        <v>33030.04</v>
      </c>
    </row>
    <row r="1256" spans="1:7" ht="22.5" x14ac:dyDescent="0.25">
      <c r="A1256" s="13">
        <v>13614</v>
      </c>
      <c r="B1256" s="14">
        <v>43427.491979166669</v>
      </c>
      <c r="C1256" s="13" t="s">
        <v>10</v>
      </c>
      <c r="D1256" s="13" t="str">
        <f>"SERVIZIO DI PULIZIA E DISINFESTAZIONE"</f>
        <v>SERVIZIO DI PULIZIA E DISINFESTAZIONE</v>
      </c>
      <c r="E1256" s="13" t="str">
        <f>"CO.L.SER SERVIZI SCRL"</f>
        <v>CO.L.SER SERVIZI SCRL</v>
      </c>
      <c r="F1256" s="13" t="s">
        <v>28</v>
      </c>
      <c r="G1256" s="15">
        <v>33030.04</v>
      </c>
    </row>
    <row r="1257" spans="1:7" ht="22.5" x14ac:dyDescent="0.25">
      <c r="A1257" s="13">
        <v>13615</v>
      </c>
      <c r="B1257" s="14">
        <v>43427.491979166669</v>
      </c>
      <c r="C1257" s="13" t="s">
        <v>10</v>
      </c>
      <c r="D1257" s="13" t="str">
        <f>"SERVIZIO DI PULIZIA E DISINFESTAZIONE"</f>
        <v>SERVIZIO DI PULIZIA E DISINFESTAZIONE</v>
      </c>
      <c r="E1257" s="13" t="str">
        <f>"CO.L.SER SERVIZI SCRL"</f>
        <v>CO.L.SER SERVIZI SCRL</v>
      </c>
      <c r="F1257" s="13" t="s">
        <v>28</v>
      </c>
      <c r="G1257" s="15">
        <v>35030.04</v>
      </c>
    </row>
    <row r="1258" spans="1:7" ht="22.5" x14ac:dyDescent="0.25">
      <c r="A1258" s="13">
        <v>13616</v>
      </c>
      <c r="B1258" s="14">
        <v>43427.491979166669</v>
      </c>
      <c r="C1258" s="13" t="s">
        <v>10</v>
      </c>
      <c r="D1258" s="13" t="str">
        <f>"STRUMENTARIO CHIRURGICO (K, L)"</f>
        <v>STRUMENTARIO CHIRURGICO (K, L)</v>
      </c>
      <c r="E1258" s="13" t="str">
        <f>"ARTHREX ITALIA SRL"</f>
        <v>ARTHREX ITALIA SRL</v>
      </c>
      <c r="F1258" s="13" t="s">
        <v>14</v>
      </c>
      <c r="G1258" s="15">
        <v>1050</v>
      </c>
    </row>
    <row r="1259" spans="1:7" ht="22.5" x14ac:dyDescent="0.25">
      <c r="A1259" s="13">
        <v>13617</v>
      </c>
      <c r="B1259" s="14">
        <v>43427.491990740738</v>
      </c>
      <c r="C1259" s="13" t="s">
        <v>10</v>
      </c>
      <c r="D1259" s="13" t="str">
        <f>"ALTRI SERVIZI"</f>
        <v>ALTRI SERVIZI</v>
      </c>
      <c r="E1259" s="13" t="str">
        <f>"DEDALUS SPA con Socio Unico"</f>
        <v>DEDALUS SPA con Socio Unico</v>
      </c>
      <c r="F1259" s="13" t="str">
        <f>"ALTRE SPESE PER SERV.NON SANITARI"</f>
        <v>ALTRE SPESE PER SERV.NON SANITARI</v>
      </c>
      <c r="G1259" s="15">
        <v>58910.25</v>
      </c>
    </row>
    <row r="1260" spans="1:7" ht="22.5" x14ac:dyDescent="0.25">
      <c r="A1260" s="13">
        <v>13618</v>
      </c>
      <c r="B1260" s="14">
        <v>43427.491990740738</v>
      </c>
      <c r="C1260" s="13" t="s">
        <v>10</v>
      </c>
      <c r="D1260" s="13" t="str">
        <f>"ALTRI SERVIZI"</f>
        <v>ALTRI SERVIZI</v>
      </c>
      <c r="E1260" s="13" t="str">
        <f>"DEDALUS SPA con Socio Unico"</f>
        <v>DEDALUS SPA con Socio Unico</v>
      </c>
      <c r="F1260" s="13" t="str">
        <f>"ALTRE SPESE PER SERV.NON SANITARI"</f>
        <v>ALTRE SPESE PER SERV.NON SANITARI</v>
      </c>
      <c r="G1260" s="15">
        <v>750</v>
      </c>
    </row>
    <row r="1261" spans="1:7" ht="22.5" x14ac:dyDescent="0.25">
      <c r="A1261" s="13">
        <v>13619</v>
      </c>
      <c r="B1261" s="14">
        <v>43427.491990740738</v>
      </c>
      <c r="C1261" s="13" t="s">
        <v>10</v>
      </c>
      <c r="D1261" s="13" t="str">
        <f>"ALTRI SERVIZI"</f>
        <v>ALTRI SERVIZI</v>
      </c>
      <c r="E1261" s="13" t="str">
        <f>"DEDALUS SPA con Socio Unico"</f>
        <v>DEDALUS SPA con Socio Unico</v>
      </c>
      <c r="F1261" s="13" t="str">
        <f>"ALTRE SPESE PER SERV.NON SANITARI"</f>
        <v>ALTRE SPESE PER SERV.NON SANITARI</v>
      </c>
      <c r="G1261" s="15">
        <v>780</v>
      </c>
    </row>
    <row r="1262" spans="1:7" ht="22.5" x14ac:dyDescent="0.25">
      <c r="A1262" s="13">
        <v>13620</v>
      </c>
      <c r="B1262" s="14">
        <v>43427.491990740738</v>
      </c>
      <c r="C1262" s="13" t="s">
        <v>10</v>
      </c>
      <c r="D1262" s="13" t="str">
        <f>"ALTRI SERVIZI"</f>
        <v>ALTRI SERVIZI</v>
      </c>
      <c r="E1262" s="13" t="str">
        <f>"DEDALUS SPA con Socio Unico"</f>
        <v>DEDALUS SPA con Socio Unico</v>
      </c>
      <c r="F1262" s="13" t="str">
        <f>"ALTRE SPESE PER SERV.NON SANITARI"</f>
        <v>ALTRE SPESE PER SERV.NON SANITARI</v>
      </c>
      <c r="G1262" s="15">
        <v>260</v>
      </c>
    </row>
    <row r="1263" spans="1:7" ht="22.5" x14ac:dyDescent="0.25">
      <c r="A1263" s="13">
        <v>13621</v>
      </c>
      <c r="B1263" s="14">
        <v>43427.491990740738</v>
      </c>
      <c r="C1263" s="13" t="s">
        <v>10</v>
      </c>
      <c r="D1263" s="13" t="str">
        <f>"FARMACI FILE F"</f>
        <v>FARMACI FILE F</v>
      </c>
      <c r="E1263" s="13" t="str">
        <f>"ELI LILLY ITALIA SPA"</f>
        <v>ELI LILLY ITALIA SPA</v>
      </c>
      <c r="F1263" s="13" t="s">
        <v>14</v>
      </c>
      <c r="G1263" s="15">
        <v>5017.6000000000004</v>
      </c>
    </row>
    <row r="1264" spans="1:7" ht="22.5" x14ac:dyDescent="0.25">
      <c r="A1264" s="13">
        <v>13622</v>
      </c>
      <c r="B1264" s="14">
        <v>43427.491990740738</v>
      </c>
      <c r="C1264" s="13" t="s">
        <v>10</v>
      </c>
      <c r="D1264" s="13" t="str">
        <f>"FARMACI FILE F"</f>
        <v>FARMACI FILE F</v>
      </c>
      <c r="E1264" s="13" t="str">
        <f>"MSD ITALIA SRL"</f>
        <v>MSD ITALIA SRL</v>
      </c>
      <c r="F1264" s="13" t="s">
        <v>14</v>
      </c>
      <c r="G1264" s="15">
        <v>21967.919999999998</v>
      </c>
    </row>
    <row r="1265" spans="1:7" ht="33.75" x14ac:dyDescent="0.25">
      <c r="A1265" s="13">
        <v>13623</v>
      </c>
      <c r="B1265" s="14">
        <v>43427.491990740738</v>
      </c>
      <c r="C1265" s="13" t="s">
        <v>10</v>
      </c>
      <c r="D1265" s="13" t="str">
        <f>"SERVIZIO TRASPORTO MAGAZZINAGGIO FACCHINAGGIO IN APPALTO"</f>
        <v>SERVIZIO TRASPORTO MAGAZZINAGGIO FACCHINAGGIO IN APPALTO</v>
      </c>
      <c r="E1265" s="13" t="str">
        <f>"ITALIA SERVIZI INTEGRATI SPA"</f>
        <v>ITALIA SERVIZI INTEGRATI SPA</v>
      </c>
      <c r="F1265" s="13" t="s">
        <v>14</v>
      </c>
      <c r="G1265" s="15">
        <v>34054.980000000003</v>
      </c>
    </row>
    <row r="1266" spans="1:7" ht="33.75" x14ac:dyDescent="0.25">
      <c r="A1266" s="13">
        <v>13624</v>
      </c>
      <c r="B1266" s="14">
        <v>43427.491990740738</v>
      </c>
      <c r="C1266" s="13" t="s">
        <v>10</v>
      </c>
      <c r="D1266" s="13" t="str">
        <f>"SERVIZIO TRASPORTO MAGAZZINAGGIO FACCHINAGGIO IN APPALTO"</f>
        <v>SERVIZIO TRASPORTO MAGAZZINAGGIO FACCHINAGGIO IN APPALTO</v>
      </c>
      <c r="E1266" s="13" t="str">
        <f>"ITALIA SERVIZI INTEGRATI SPA"</f>
        <v>ITALIA SERVIZI INTEGRATI SPA</v>
      </c>
      <c r="F1266" s="13" t="s">
        <v>14</v>
      </c>
      <c r="G1266" s="15">
        <v>103481.58</v>
      </c>
    </row>
    <row r="1267" spans="1:7" ht="22.5" x14ac:dyDescent="0.25">
      <c r="A1267" s="13">
        <v>13625</v>
      </c>
      <c r="B1267" s="14">
        <v>43427.491990740738</v>
      </c>
      <c r="C1267" s="13" t="s">
        <v>10</v>
      </c>
      <c r="D1267" s="13" t="str">
        <f>"STRUMENTARIO CHIRURGICO (K, L)"</f>
        <v>STRUMENTARIO CHIRURGICO (K, L)</v>
      </c>
      <c r="E1267" s="13" t="str">
        <f>"CONMED ITALIA SRL con Socio Unico"</f>
        <v>CONMED ITALIA SRL con Socio Unico</v>
      </c>
      <c r="F1267" s="13" t="s">
        <v>14</v>
      </c>
      <c r="G1267" s="15">
        <v>1738.5</v>
      </c>
    </row>
    <row r="1268" spans="1:7" ht="22.5" x14ac:dyDescent="0.25">
      <c r="A1268" s="13">
        <v>13626</v>
      </c>
      <c r="B1268" s="14">
        <v>43430.607199074075</v>
      </c>
      <c r="C1268" s="13" t="s">
        <v>10</v>
      </c>
      <c r="D1268" s="13" t="str">
        <f t="shared" ref="D1268:D1276" si="93">"MATERIALE PROTESICO"</f>
        <v>MATERIALE PROTESICO</v>
      </c>
      <c r="E1268" s="13" t="str">
        <f t="shared" ref="E1268:E1331" si="94">"JOHNSON &amp; JOHNSON MEDICAL SPA"</f>
        <v>JOHNSON &amp; JOHNSON MEDICAL SPA</v>
      </c>
      <c r="F1268" s="13" t="s">
        <v>14</v>
      </c>
      <c r="G1268" s="15">
        <v>40.299999999999997</v>
      </c>
    </row>
    <row r="1269" spans="1:7" ht="22.5" x14ac:dyDescent="0.25">
      <c r="A1269" s="13">
        <v>13627</v>
      </c>
      <c r="B1269" s="14">
        <v>43430.607210648152</v>
      </c>
      <c r="C1269" s="13" t="s">
        <v>10</v>
      </c>
      <c r="D1269" s="13" t="str">
        <f t="shared" si="93"/>
        <v>MATERIALE PROTESICO</v>
      </c>
      <c r="E1269" s="13" t="str">
        <f t="shared" si="94"/>
        <v>JOHNSON &amp; JOHNSON MEDICAL SPA</v>
      </c>
      <c r="F1269" s="13" t="s">
        <v>14</v>
      </c>
      <c r="G1269" s="15">
        <v>132.6</v>
      </c>
    </row>
    <row r="1270" spans="1:7" ht="22.5" x14ac:dyDescent="0.25">
      <c r="A1270" s="13">
        <v>13628</v>
      </c>
      <c r="B1270" s="14">
        <v>43430.607210648152</v>
      </c>
      <c r="C1270" s="13" t="s">
        <v>10</v>
      </c>
      <c r="D1270" s="13" t="str">
        <f t="shared" si="93"/>
        <v>MATERIALE PROTESICO</v>
      </c>
      <c r="E1270" s="13" t="str">
        <f t="shared" si="94"/>
        <v>JOHNSON &amp; JOHNSON MEDICAL SPA</v>
      </c>
      <c r="F1270" s="13" t="s">
        <v>14</v>
      </c>
      <c r="G1270" s="15">
        <v>2666.6</v>
      </c>
    </row>
    <row r="1271" spans="1:7" ht="22.5" x14ac:dyDescent="0.25">
      <c r="A1271" s="13">
        <v>13629</v>
      </c>
      <c r="B1271" s="14">
        <v>43430.607210648152</v>
      </c>
      <c r="C1271" s="13" t="s">
        <v>10</v>
      </c>
      <c r="D1271" s="13" t="str">
        <f t="shared" si="93"/>
        <v>MATERIALE PROTESICO</v>
      </c>
      <c r="E1271" s="13" t="str">
        <f t="shared" si="94"/>
        <v>JOHNSON &amp; JOHNSON MEDICAL SPA</v>
      </c>
      <c r="F1271" s="13" t="s">
        <v>14</v>
      </c>
      <c r="G1271" s="15">
        <v>533.32000000000005</v>
      </c>
    </row>
    <row r="1272" spans="1:7" ht="22.5" x14ac:dyDescent="0.25">
      <c r="A1272" s="13">
        <v>13630</v>
      </c>
      <c r="B1272" s="14">
        <v>43430.607210648152</v>
      </c>
      <c r="C1272" s="13" t="s">
        <v>10</v>
      </c>
      <c r="D1272" s="13" t="str">
        <f t="shared" si="93"/>
        <v>MATERIALE PROTESICO</v>
      </c>
      <c r="E1272" s="13" t="str">
        <f t="shared" si="94"/>
        <v>JOHNSON &amp; JOHNSON MEDICAL SPA</v>
      </c>
      <c r="F1272" s="13" t="s">
        <v>14</v>
      </c>
      <c r="G1272" s="15">
        <v>2838.98</v>
      </c>
    </row>
    <row r="1273" spans="1:7" ht="22.5" x14ac:dyDescent="0.25">
      <c r="A1273" s="13">
        <v>13631</v>
      </c>
      <c r="B1273" s="14">
        <v>43430.607210648152</v>
      </c>
      <c r="C1273" s="13" t="s">
        <v>10</v>
      </c>
      <c r="D1273" s="13" t="str">
        <f t="shared" si="93"/>
        <v>MATERIALE PROTESICO</v>
      </c>
      <c r="E1273" s="13" t="str">
        <f t="shared" si="94"/>
        <v>JOHNSON &amp; JOHNSON MEDICAL SPA</v>
      </c>
      <c r="F1273" s="13" t="s">
        <v>14</v>
      </c>
      <c r="G1273" s="15">
        <v>82.8</v>
      </c>
    </row>
    <row r="1274" spans="1:7" ht="22.5" x14ac:dyDescent="0.25">
      <c r="A1274" s="13">
        <v>13632</v>
      </c>
      <c r="B1274" s="14">
        <v>43430.607210648152</v>
      </c>
      <c r="C1274" s="13" t="s">
        <v>10</v>
      </c>
      <c r="D1274" s="13" t="str">
        <f t="shared" si="93"/>
        <v>MATERIALE PROTESICO</v>
      </c>
      <c r="E1274" s="13" t="str">
        <f t="shared" si="94"/>
        <v>JOHNSON &amp; JOHNSON MEDICAL SPA</v>
      </c>
      <c r="F1274" s="13" t="s">
        <v>14</v>
      </c>
      <c r="G1274" s="15">
        <v>144</v>
      </c>
    </row>
    <row r="1275" spans="1:7" ht="22.5" x14ac:dyDescent="0.25">
      <c r="A1275" s="13">
        <v>13633</v>
      </c>
      <c r="B1275" s="14">
        <v>43430.607210648152</v>
      </c>
      <c r="C1275" s="13" t="s">
        <v>10</v>
      </c>
      <c r="D1275" s="13" t="str">
        <f t="shared" si="93"/>
        <v>MATERIALE PROTESICO</v>
      </c>
      <c r="E1275" s="13" t="str">
        <f t="shared" si="94"/>
        <v>JOHNSON &amp; JOHNSON MEDICAL SPA</v>
      </c>
      <c r="F1275" s="13" t="s">
        <v>14</v>
      </c>
      <c r="G1275" s="15">
        <v>3525</v>
      </c>
    </row>
    <row r="1276" spans="1:7" ht="22.5" x14ac:dyDescent="0.25">
      <c r="A1276" s="13">
        <v>13634</v>
      </c>
      <c r="B1276" s="14">
        <v>43430.607210648152</v>
      </c>
      <c r="C1276" s="13" t="s">
        <v>10</v>
      </c>
      <c r="D1276" s="13" t="str">
        <f t="shared" si="93"/>
        <v>MATERIALE PROTESICO</v>
      </c>
      <c r="E1276" s="13" t="str">
        <f t="shared" si="94"/>
        <v>JOHNSON &amp; JOHNSON MEDICAL SPA</v>
      </c>
      <c r="F1276" s="13" t="s">
        <v>14</v>
      </c>
      <c r="G1276" s="15">
        <v>20.149999999999999</v>
      </c>
    </row>
    <row r="1277" spans="1:7" ht="22.5" x14ac:dyDescent="0.25">
      <c r="A1277" s="13">
        <v>13635</v>
      </c>
      <c r="B1277" s="14">
        <v>43430.607210648152</v>
      </c>
      <c r="C1277" s="13" t="s">
        <v>10</v>
      </c>
      <c r="D1277" s="13" t="str">
        <f>"STRUMENTARIO CHIRURGICO (K, L)"</f>
        <v>STRUMENTARIO CHIRURGICO (K, L)</v>
      </c>
      <c r="E1277" s="13" t="str">
        <f t="shared" si="94"/>
        <v>JOHNSON &amp; JOHNSON MEDICAL SPA</v>
      </c>
      <c r="F1277" s="13" t="s">
        <v>14</v>
      </c>
      <c r="G1277" s="15">
        <v>59.04</v>
      </c>
    </row>
    <row r="1278" spans="1:7" ht="22.5" x14ac:dyDescent="0.25">
      <c r="A1278" s="13">
        <v>13636</v>
      </c>
      <c r="B1278" s="14">
        <v>43430.607210648152</v>
      </c>
      <c r="C1278" s="13" t="s">
        <v>10</v>
      </c>
      <c r="D1278" s="13" t="str">
        <f>"STRUMENTARIO CHIRURGICO (K, L)"</f>
        <v>STRUMENTARIO CHIRURGICO (K, L)</v>
      </c>
      <c r="E1278" s="13" t="str">
        <f t="shared" si="94"/>
        <v>JOHNSON &amp; JOHNSON MEDICAL SPA</v>
      </c>
      <c r="F1278" s="13" t="s">
        <v>14</v>
      </c>
      <c r="G1278" s="15">
        <v>71.28</v>
      </c>
    </row>
    <row r="1279" spans="1:7" ht="22.5" x14ac:dyDescent="0.25">
      <c r="A1279" s="13">
        <v>13637</v>
      </c>
      <c r="B1279" s="14">
        <v>43430.607222222221</v>
      </c>
      <c r="C1279" s="13" t="s">
        <v>10</v>
      </c>
      <c r="D1279" s="13" t="str">
        <f t="shared" ref="D1279:D1292" si="95">"MATERIALE PROTESICO"</f>
        <v>MATERIALE PROTESICO</v>
      </c>
      <c r="E1279" s="13" t="str">
        <f t="shared" si="94"/>
        <v>JOHNSON &amp; JOHNSON MEDICAL SPA</v>
      </c>
      <c r="F1279" s="13" t="s">
        <v>14</v>
      </c>
      <c r="G1279" s="15">
        <v>22.32</v>
      </c>
    </row>
    <row r="1280" spans="1:7" ht="22.5" x14ac:dyDescent="0.25">
      <c r="A1280" s="13">
        <v>13638</v>
      </c>
      <c r="B1280" s="14">
        <v>43430.607222222221</v>
      </c>
      <c r="C1280" s="13" t="s">
        <v>10</v>
      </c>
      <c r="D1280" s="13" t="str">
        <f t="shared" si="95"/>
        <v>MATERIALE PROTESICO</v>
      </c>
      <c r="E1280" s="13" t="str">
        <f t="shared" si="94"/>
        <v>JOHNSON &amp; JOHNSON MEDICAL SPA</v>
      </c>
      <c r="F1280" s="13" t="s">
        <v>14</v>
      </c>
      <c r="G1280" s="15">
        <v>5184.3</v>
      </c>
    </row>
    <row r="1281" spans="1:7" ht="22.5" x14ac:dyDescent="0.25">
      <c r="A1281" s="13">
        <v>13639</v>
      </c>
      <c r="B1281" s="14">
        <v>43430.607222222221</v>
      </c>
      <c r="C1281" s="13" t="s">
        <v>10</v>
      </c>
      <c r="D1281" s="13" t="str">
        <f t="shared" si="95"/>
        <v>MATERIALE PROTESICO</v>
      </c>
      <c r="E1281" s="13" t="str">
        <f t="shared" si="94"/>
        <v>JOHNSON &amp; JOHNSON MEDICAL SPA</v>
      </c>
      <c r="F1281" s="13" t="s">
        <v>14</v>
      </c>
      <c r="G1281" s="15">
        <v>2884.97</v>
      </c>
    </row>
    <row r="1282" spans="1:7" ht="22.5" x14ac:dyDescent="0.25">
      <c r="A1282" s="13">
        <v>13640</v>
      </c>
      <c r="B1282" s="14">
        <v>43430.607222222221</v>
      </c>
      <c r="C1282" s="13" t="s">
        <v>10</v>
      </c>
      <c r="D1282" s="13" t="str">
        <f t="shared" si="95"/>
        <v>MATERIALE PROTESICO</v>
      </c>
      <c r="E1282" s="13" t="str">
        <f t="shared" si="94"/>
        <v>JOHNSON &amp; JOHNSON MEDICAL SPA</v>
      </c>
      <c r="F1282" s="13" t="s">
        <v>14</v>
      </c>
      <c r="G1282" s="15">
        <v>302.81</v>
      </c>
    </row>
    <row r="1283" spans="1:7" ht="22.5" x14ac:dyDescent="0.25">
      <c r="A1283" s="13">
        <v>13641</v>
      </c>
      <c r="B1283" s="14">
        <v>43430.607222222221</v>
      </c>
      <c r="C1283" s="13" t="s">
        <v>10</v>
      </c>
      <c r="D1283" s="13" t="str">
        <f t="shared" si="95"/>
        <v>MATERIALE PROTESICO</v>
      </c>
      <c r="E1283" s="13" t="str">
        <f t="shared" si="94"/>
        <v>JOHNSON &amp; JOHNSON MEDICAL SPA</v>
      </c>
      <c r="F1283" s="13" t="s">
        <v>14</v>
      </c>
      <c r="G1283" s="15">
        <v>172.9</v>
      </c>
    </row>
    <row r="1284" spans="1:7" ht="22.5" x14ac:dyDescent="0.25">
      <c r="A1284" s="13">
        <v>13642</v>
      </c>
      <c r="B1284" s="14">
        <v>43430.607222222221</v>
      </c>
      <c r="C1284" s="13" t="s">
        <v>10</v>
      </c>
      <c r="D1284" s="13" t="str">
        <f t="shared" si="95"/>
        <v>MATERIALE PROTESICO</v>
      </c>
      <c r="E1284" s="13" t="str">
        <f t="shared" si="94"/>
        <v>JOHNSON &amp; JOHNSON MEDICAL SPA</v>
      </c>
      <c r="F1284" s="13" t="s">
        <v>14</v>
      </c>
      <c r="G1284" s="15">
        <v>2212.46</v>
      </c>
    </row>
    <row r="1285" spans="1:7" ht="22.5" x14ac:dyDescent="0.25">
      <c r="A1285" s="13">
        <v>13643</v>
      </c>
      <c r="B1285" s="14">
        <v>43430.607222222221</v>
      </c>
      <c r="C1285" s="13" t="s">
        <v>10</v>
      </c>
      <c r="D1285" s="13" t="str">
        <f t="shared" si="95"/>
        <v>MATERIALE PROTESICO</v>
      </c>
      <c r="E1285" s="13" t="str">
        <f t="shared" si="94"/>
        <v>JOHNSON &amp; JOHNSON MEDICAL SPA</v>
      </c>
      <c r="F1285" s="13" t="s">
        <v>14</v>
      </c>
      <c r="G1285" s="15">
        <v>2898.68</v>
      </c>
    </row>
    <row r="1286" spans="1:7" ht="22.5" x14ac:dyDescent="0.25">
      <c r="A1286" s="13">
        <v>13644</v>
      </c>
      <c r="B1286" s="14">
        <v>43430.607222222221</v>
      </c>
      <c r="C1286" s="13" t="s">
        <v>10</v>
      </c>
      <c r="D1286" s="13" t="str">
        <f t="shared" si="95"/>
        <v>MATERIALE PROTESICO</v>
      </c>
      <c r="E1286" s="13" t="str">
        <f t="shared" si="94"/>
        <v>JOHNSON &amp; JOHNSON MEDICAL SPA</v>
      </c>
      <c r="F1286" s="13" t="s">
        <v>14</v>
      </c>
      <c r="G1286" s="15">
        <v>40.299999999999997</v>
      </c>
    </row>
    <row r="1287" spans="1:7" ht="22.5" x14ac:dyDescent="0.25">
      <c r="A1287" s="13">
        <v>13645</v>
      </c>
      <c r="B1287" s="14">
        <v>43430.607222222221</v>
      </c>
      <c r="C1287" s="13" t="s">
        <v>10</v>
      </c>
      <c r="D1287" s="13" t="str">
        <f t="shared" si="95"/>
        <v>MATERIALE PROTESICO</v>
      </c>
      <c r="E1287" s="13" t="str">
        <f t="shared" si="94"/>
        <v>JOHNSON &amp; JOHNSON MEDICAL SPA</v>
      </c>
      <c r="F1287" s="13" t="s">
        <v>14</v>
      </c>
      <c r="G1287" s="15">
        <v>376.56</v>
      </c>
    </row>
    <row r="1288" spans="1:7" ht="22.5" x14ac:dyDescent="0.25">
      <c r="A1288" s="13">
        <v>13646</v>
      </c>
      <c r="B1288" s="14">
        <v>43430.607222222221</v>
      </c>
      <c r="C1288" s="13" t="s">
        <v>10</v>
      </c>
      <c r="D1288" s="13" t="str">
        <f t="shared" si="95"/>
        <v>MATERIALE PROTESICO</v>
      </c>
      <c r="E1288" s="13" t="str">
        <f t="shared" si="94"/>
        <v>JOHNSON &amp; JOHNSON MEDICAL SPA</v>
      </c>
      <c r="F1288" s="13" t="s">
        <v>14</v>
      </c>
      <c r="G1288" s="15">
        <v>497.24</v>
      </c>
    </row>
    <row r="1289" spans="1:7" ht="22.5" x14ac:dyDescent="0.25">
      <c r="A1289" s="13">
        <v>13647</v>
      </c>
      <c r="B1289" s="14">
        <v>43430.607222222221</v>
      </c>
      <c r="C1289" s="13" t="s">
        <v>10</v>
      </c>
      <c r="D1289" s="13" t="str">
        <f t="shared" si="95"/>
        <v>MATERIALE PROTESICO</v>
      </c>
      <c r="E1289" s="13" t="str">
        <f t="shared" si="94"/>
        <v>JOHNSON &amp; JOHNSON MEDICAL SPA</v>
      </c>
      <c r="F1289" s="13" t="s">
        <v>14</v>
      </c>
      <c r="G1289" s="15">
        <v>794.88</v>
      </c>
    </row>
    <row r="1290" spans="1:7" ht="22.5" x14ac:dyDescent="0.25">
      <c r="A1290" s="13">
        <v>13648</v>
      </c>
      <c r="B1290" s="14">
        <v>43430.607222222221</v>
      </c>
      <c r="C1290" s="13" t="s">
        <v>10</v>
      </c>
      <c r="D1290" s="13" t="str">
        <f t="shared" si="95"/>
        <v>MATERIALE PROTESICO</v>
      </c>
      <c r="E1290" s="13" t="str">
        <f t="shared" si="94"/>
        <v>JOHNSON &amp; JOHNSON MEDICAL SPA</v>
      </c>
      <c r="F1290" s="13" t="s">
        <v>14</v>
      </c>
      <c r="G1290" s="15">
        <v>497.24</v>
      </c>
    </row>
    <row r="1291" spans="1:7" ht="22.5" x14ac:dyDescent="0.25">
      <c r="A1291" s="13">
        <v>13649</v>
      </c>
      <c r="B1291" s="14">
        <v>43430.607222222221</v>
      </c>
      <c r="C1291" s="13" t="s">
        <v>10</v>
      </c>
      <c r="D1291" s="13" t="str">
        <f t="shared" si="95"/>
        <v>MATERIALE PROTESICO</v>
      </c>
      <c r="E1291" s="13" t="str">
        <f t="shared" si="94"/>
        <v>JOHNSON &amp; JOHNSON MEDICAL SPA</v>
      </c>
      <c r="F1291" s="13" t="s">
        <v>14</v>
      </c>
      <c r="G1291" s="15">
        <v>266.66000000000003</v>
      </c>
    </row>
    <row r="1292" spans="1:7" ht="22.5" x14ac:dyDescent="0.25">
      <c r="A1292" s="13">
        <v>13650</v>
      </c>
      <c r="B1292" s="14">
        <v>43430.607222222221</v>
      </c>
      <c r="C1292" s="13" t="s">
        <v>10</v>
      </c>
      <c r="D1292" s="13" t="str">
        <f t="shared" si="95"/>
        <v>MATERIALE PROTESICO</v>
      </c>
      <c r="E1292" s="13" t="str">
        <f t="shared" si="94"/>
        <v>JOHNSON &amp; JOHNSON MEDICAL SPA</v>
      </c>
      <c r="F1292" s="13" t="s">
        <v>14</v>
      </c>
      <c r="G1292" s="15">
        <v>2406.13</v>
      </c>
    </row>
    <row r="1293" spans="1:7" ht="22.5" x14ac:dyDescent="0.25">
      <c r="A1293" s="13">
        <v>13651</v>
      </c>
      <c r="B1293" s="14">
        <v>43430.607222222221</v>
      </c>
      <c r="C1293" s="13" t="s">
        <v>10</v>
      </c>
      <c r="D1293" s="13" t="str">
        <f>"STRUMENTARIO CHIRURGICO (K, L)"</f>
        <v>STRUMENTARIO CHIRURGICO (K, L)</v>
      </c>
      <c r="E1293" s="13" t="str">
        <f t="shared" si="94"/>
        <v>JOHNSON &amp; JOHNSON MEDICAL SPA</v>
      </c>
      <c r="F1293" s="13" t="s">
        <v>14</v>
      </c>
      <c r="G1293" s="15">
        <v>59.04</v>
      </c>
    </row>
    <row r="1294" spans="1:7" ht="33.75" x14ac:dyDescent="0.25">
      <c r="A1294" s="13">
        <v>13652</v>
      </c>
      <c r="B1294" s="14">
        <v>43430.607233796298</v>
      </c>
      <c r="C1294" s="13" t="s">
        <v>10</v>
      </c>
      <c r="D1294" s="13" t="str">
        <f>"DISINFETTANTI, PRODOTTI PER STERILIZZAZIONE E DISPOSITIVI VARI S"</f>
        <v>DISINFETTANTI, PRODOTTI PER STERILIZZAZIONE E DISPOSITIVI VARI S</v>
      </c>
      <c r="E1294" s="13" t="str">
        <f t="shared" si="94"/>
        <v>JOHNSON &amp; JOHNSON MEDICAL SPA</v>
      </c>
      <c r="F1294" s="13" t="s">
        <v>14</v>
      </c>
      <c r="G1294" s="15">
        <v>4881</v>
      </c>
    </row>
    <row r="1295" spans="1:7" ht="22.5" x14ac:dyDescent="0.25">
      <c r="A1295" s="13">
        <v>13653</v>
      </c>
      <c r="B1295" s="14">
        <v>43430.607233796298</v>
      </c>
      <c r="C1295" s="13" t="s">
        <v>10</v>
      </c>
      <c r="D1295" s="13" t="str">
        <f t="shared" ref="D1295:D1305" si="96">"MATERIALE PROTESICO"</f>
        <v>MATERIALE PROTESICO</v>
      </c>
      <c r="E1295" s="13" t="str">
        <f t="shared" si="94"/>
        <v>JOHNSON &amp; JOHNSON MEDICAL SPA</v>
      </c>
      <c r="F1295" s="13" t="s">
        <v>14</v>
      </c>
      <c r="G1295" s="15">
        <v>266.66000000000003</v>
      </c>
    </row>
    <row r="1296" spans="1:7" ht="22.5" x14ac:dyDescent="0.25">
      <c r="A1296" s="13">
        <v>13654</v>
      </c>
      <c r="B1296" s="14">
        <v>43430.607233796298</v>
      </c>
      <c r="C1296" s="13" t="s">
        <v>10</v>
      </c>
      <c r="D1296" s="13" t="str">
        <f t="shared" si="96"/>
        <v>MATERIALE PROTESICO</v>
      </c>
      <c r="E1296" s="13" t="str">
        <f t="shared" si="94"/>
        <v>JOHNSON &amp; JOHNSON MEDICAL SPA</v>
      </c>
      <c r="F1296" s="13" t="s">
        <v>14</v>
      </c>
      <c r="G1296" s="15">
        <v>66.239999999999995</v>
      </c>
    </row>
    <row r="1297" spans="1:7" ht="22.5" x14ac:dyDescent="0.25">
      <c r="A1297" s="13">
        <v>13655</v>
      </c>
      <c r="B1297" s="14">
        <v>43430.607233796298</v>
      </c>
      <c r="C1297" s="13" t="s">
        <v>10</v>
      </c>
      <c r="D1297" s="13" t="str">
        <f t="shared" si="96"/>
        <v>MATERIALE PROTESICO</v>
      </c>
      <c r="E1297" s="13" t="str">
        <f t="shared" si="94"/>
        <v>JOHNSON &amp; JOHNSON MEDICAL SPA</v>
      </c>
      <c r="F1297" s="13" t="s">
        <v>14</v>
      </c>
      <c r="G1297" s="15">
        <v>1507.8</v>
      </c>
    </row>
    <row r="1298" spans="1:7" ht="22.5" x14ac:dyDescent="0.25">
      <c r="A1298" s="13">
        <v>13656</v>
      </c>
      <c r="B1298" s="14">
        <v>43430.607233796298</v>
      </c>
      <c r="C1298" s="13" t="s">
        <v>10</v>
      </c>
      <c r="D1298" s="13" t="str">
        <f t="shared" si="96"/>
        <v>MATERIALE PROTESICO</v>
      </c>
      <c r="E1298" s="13" t="str">
        <f t="shared" si="94"/>
        <v>JOHNSON &amp; JOHNSON MEDICAL SPA</v>
      </c>
      <c r="F1298" s="13" t="s">
        <v>14</v>
      </c>
      <c r="G1298" s="15">
        <v>263.25</v>
      </c>
    </row>
    <row r="1299" spans="1:7" ht="22.5" x14ac:dyDescent="0.25">
      <c r="A1299" s="13">
        <v>13657</v>
      </c>
      <c r="B1299" s="14">
        <v>43430.607233796298</v>
      </c>
      <c r="C1299" s="13" t="s">
        <v>10</v>
      </c>
      <c r="D1299" s="13" t="str">
        <f t="shared" si="96"/>
        <v>MATERIALE PROTESICO</v>
      </c>
      <c r="E1299" s="13" t="str">
        <f t="shared" si="94"/>
        <v>JOHNSON &amp; JOHNSON MEDICAL SPA</v>
      </c>
      <c r="F1299" s="13" t="s">
        <v>14</v>
      </c>
      <c r="G1299" s="15">
        <v>497.24</v>
      </c>
    </row>
    <row r="1300" spans="1:7" ht="22.5" x14ac:dyDescent="0.25">
      <c r="A1300" s="13">
        <v>13658</v>
      </c>
      <c r="B1300" s="14">
        <v>43430.607233796298</v>
      </c>
      <c r="C1300" s="13" t="s">
        <v>10</v>
      </c>
      <c r="D1300" s="13" t="str">
        <f t="shared" si="96"/>
        <v>MATERIALE PROTESICO</v>
      </c>
      <c r="E1300" s="13" t="str">
        <f t="shared" si="94"/>
        <v>JOHNSON &amp; JOHNSON MEDICAL SPA</v>
      </c>
      <c r="F1300" s="13" t="s">
        <v>14</v>
      </c>
      <c r="G1300" s="15">
        <v>364.72</v>
      </c>
    </row>
    <row r="1301" spans="1:7" ht="22.5" x14ac:dyDescent="0.25">
      <c r="A1301" s="13">
        <v>13659</v>
      </c>
      <c r="B1301" s="14">
        <v>43430.607233796298</v>
      </c>
      <c r="C1301" s="13" t="s">
        <v>10</v>
      </c>
      <c r="D1301" s="13" t="str">
        <f t="shared" si="96"/>
        <v>MATERIALE PROTESICO</v>
      </c>
      <c r="E1301" s="13" t="str">
        <f t="shared" si="94"/>
        <v>JOHNSON &amp; JOHNSON MEDICAL SPA</v>
      </c>
      <c r="F1301" s="13" t="s">
        <v>14</v>
      </c>
      <c r="G1301" s="15">
        <v>2601.7800000000002</v>
      </c>
    </row>
    <row r="1302" spans="1:7" ht="22.5" x14ac:dyDescent="0.25">
      <c r="A1302" s="13">
        <v>13660</v>
      </c>
      <c r="B1302" s="14">
        <v>43430.607233796298</v>
      </c>
      <c r="C1302" s="13" t="s">
        <v>10</v>
      </c>
      <c r="D1302" s="13" t="str">
        <f t="shared" si="96"/>
        <v>MATERIALE PROTESICO</v>
      </c>
      <c r="E1302" s="13" t="str">
        <f t="shared" si="94"/>
        <v>JOHNSON &amp; JOHNSON MEDICAL SPA</v>
      </c>
      <c r="F1302" s="13" t="s">
        <v>14</v>
      </c>
      <c r="G1302" s="15">
        <v>2898.68</v>
      </c>
    </row>
    <row r="1303" spans="1:7" ht="22.5" x14ac:dyDescent="0.25">
      <c r="A1303" s="13">
        <v>13661</v>
      </c>
      <c r="B1303" s="14">
        <v>43430.607233796298</v>
      </c>
      <c r="C1303" s="13" t="s">
        <v>10</v>
      </c>
      <c r="D1303" s="13" t="str">
        <f t="shared" si="96"/>
        <v>MATERIALE PROTESICO</v>
      </c>
      <c r="E1303" s="13" t="str">
        <f t="shared" si="94"/>
        <v>JOHNSON &amp; JOHNSON MEDICAL SPA</v>
      </c>
      <c r="F1303" s="13" t="s">
        <v>14</v>
      </c>
      <c r="G1303" s="15">
        <v>372.6</v>
      </c>
    </row>
    <row r="1304" spans="1:7" ht="22.5" x14ac:dyDescent="0.25">
      <c r="A1304" s="13">
        <v>13662</v>
      </c>
      <c r="B1304" s="14">
        <v>43430.607233796298</v>
      </c>
      <c r="C1304" s="13" t="s">
        <v>10</v>
      </c>
      <c r="D1304" s="13" t="str">
        <f t="shared" si="96"/>
        <v>MATERIALE PROTESICO</v>
      </c>
      <c r="E1304" s="13" t="str">
        <f t="shared" si="94"/>
        <v>JOHNSON &amp; JOHNSON MEDICAL SPA</v>
      </c>
      <c r="F1304" s="13" t="s">
        <v>14</v>
      </c>
      <c r="G1304" s="15">
        <v>2884.97</v>
      </c>
    </row>
    <row r="1305" spans="1:7" ht="22.5" x14ac:dyDescent="0.25">
      <c r="A1305" s="13">
        <v>13663</v>
      </c>
      <c r="B1305" s="14">
        <v>43430.607233796298</v>
      </c>
      <c r="C1305" s="13" t="s">
        <v>10</v>
      </c>
      <c r="D1305" s="13" t="str">
        <f t="shared" si="96"/>
        <v>MATERIALE PROTESICO</v>
      </c>
      <c r="E1305" s="13" t="str">
        <f t="shared" si="94"/>
        <v>JOHNSON &amp; JOHNSON MEDICAL SPA</v>
      </c>
      <c r="F1305" s="13" t="s">
        <v>14</v>
      </c>
      <c r="G1305" s="15">
        <v>60.45</v>
      </c>
    </row>
    <row r="1306" spans="1:7" ht="22.5" x14ac:dyDescent="0.25">
      <c r="A1306" s="13">
        <v>13664</v>
      </c>
      <c r="B1306" s="14">
        <v>43430.607233796298</v>
      </c>
      <c r="C1306" s="13" t="s">
        <v>10</v>
      </c>
      <c r="D1306" s="13" t="str">
        <f>"STRUMENTARIO CHIRURGICO (K, L)"</f>
        <v>STRUMENTARIO CHIRURGICO (K, L)</v>
      </c>
      <c r="E1306" s="13" t="str">
        <f t="shared" si="94"/>
        <v>JOHNSON &amp; JOHNSON MEDICAL SPA</v>
      </c>
      <c r="F1306" s="13" t="s">
        <v>14</v>
      </c>
      <c r="G1306" s="15">
        <v>24.8</v>
      </c>
    </row>
    <row r="1307" spans="1:7" ht="22.5" x14ac:dyDescent="0.25">
      <c r="A1307" s="13">
        <v>13665</v>
      </c>
      <c r="B1307" s="14">
        <v>43430.607233796298</v>
      </c>
      <c r="C1307" s="13" t="s">
        <v>10</v>
      </c>
      <c r="D1307" s="13" t="str">
        <f>"STRUMENTARIO CHIRURGICO (K, L)"</f>
        <v>STRUMENTARIO CHIRURGICO (K, L)</v>
      </c>
      <c r="E1307" s="13" t="str">
        <f t="shared" si="94"/>
        <v>JOHNSON &amp; JOHNSON MEDICAL SPA</v>
      </c>
      <c r="F1307" s="13" t="s">
        <v>14</v>
      </c>
      <c r="G1307" s="15">
        <v>18.600000000000001</v>
      </c>
    </row>
    <row r="1308" spans="1:7" ht="22.5" x14ac:dyDescent="0.25">
      <c r="A1308" s="13">
        <v>13666</v>
      </c>
      <c r="B1308" s="14">
        <v>43430.607233796298</v>
      </c>
      <c r="C1308" s="13" t="s">
        <v>10</v>
      </c>
      <c r="D1308" s="13" t="str">
        <f>"STRUMENTARIO CHIRURGICO (K, L)"</f>
        <v>STRUMENTARIO CHIRURGICO (K, L)</v>
      </c>
      <c r="E1308" s="13" t="str">
        <f t="shared" si="94"/>
        <v>JOHNSON &amp; JOHNSON MEDICAL SPA</v>
      </c>
      <c r="F1308" s="13" t="s">
        <v>14</v>
      </c>
      <c r="G1308" s="15">
        <v>150.4</v>
      </c>
    </row>
    <row r="1309" spans="1:7" ht="22.5" x14ac:dyDescent="0.25">
      <c r="A1309" s="13">
        <v>13667</v>
      </c>
      <c r="B1309" s="14">
        <v>43430.607245370367</v>
      </c>
      <c r="C1309" s="13" t="s">
        <v>10</v>
      </c>
      <c r="D1309" s="13" t="str">
        <f t="shared" ref="D1309:D1318" si="97">"MATERIALE PROTESICO"</f>
        <v>MATERIALE PROTESICO</v>
      </c>
      <c r="E1309" s="13" t="str">
        <f t="shared" si="94"/>
        <v>JOHNSON &amp; JOHNSON MEDICAL SPA</v>
      </c>
      <c r="F1309" s="13" t="s">
        <v>14</v>
      </c>
      <c r="G1309" s="15">
        <v>154.05000000000001</v>
      </c>
    </row>
    <row r="1310" spans="1:7" ht="22.5" x14ac:dyDescent="0.25">
      <c r="A1310" s="13">
        <v>13668</v>
      </c>
      <c r="B1310" s="14">
        <v>43430.607245370367</v>
      </c>
      <c r="C1310" s="13" t="s">
        <v>10</v>
      </c>
      <c r="D1310" s="13" t="str">
        <f t="shared" si="97"/>
        <v>MATERIALE PROTESICO</v>
      </c>
      <c r="E1310" s="13" t="str">
        <f t="shared" si="94"/>
        <v>JOHNSON &amp; JOHNSON MEDICAL SPA</v>
      </c>
      <c r="F1310" s="13" t="s">
        <v>14</v>
      </c>
      <c r="G1310" s="15">
        <v>60.45</v>
      </c>
    </row>
    <row r="1311" spans="1:7" ht="22.5" x14ac:dyDescent="0.25">
      <c r="A1311" s="13">
        <v>13669</v>
      </c>
      <c r="B1311" s="14">
        <v>43430.607245370367</v>
      </c>
      <c r="C1311" s="13" t="s">
        <v>10</v>
      </c>
      <c r="D1311" s="13" t="str">
        <f t="shared" si="97"/>
        <v>MATERIALE PROTESICO</v>
      </c>
      <c r="E1311" s="13" t="str">
        <f t="shared" si="94"/>
        <v>JOHNSON &amp; JOHNSON MEDICAL SPA</v>
      </c>
      <c r="F1311" s="13" t="s">
        <v>14</v>
      </c>
      <c r="G1311" s="15">
        <v>200.85</v>
      </c>
    </row>
    <row r="1312" spans="1:7" ht="22.5" x14ac:dyDescent="0.25">
      <c r="A1312" s="13">
        <v>13670</v>
      </c>
      <c r="B1312" s="14">
        <v>43430.607245370367</v>
      </c>
      <c r="C1312" s="13" t="s">
        <v>10</v>
      </c>
      <c r="D1312" s="13" t="str">
        <f t="shared" si="97"/>
        <v>MATERIALE PROTESICO</v>
      </c>
      <c r="E1312" s="13" t="str">
        <f t="shared" si="94"/>
        <v>JOHNSON &amp; JOHNSON MEDICAL SPA</v>
      </c>
      <c r="F1312" s="13" t="s">
        <v>14</v>
      </c>
      <c r="G1312" s="15">
        <v>60</v>
      </c>
    </row>
    <row r="1313" spans="1:7" ht="22.5" x14ac:dyDescent="0.25">
      <c r="A1313" s="13">
        <v>13671</v>
      </c>
      <c r="B1313" s="14">
        <v>43430.607245370367</v>
      </c>
      <c r="C1313" s="13" t="s">
        <v>10</v>
      </c>
      <c r="D1313" s="13" t="str">
        <f t="shared" si="97"/>
        <v>MATERIALE PROTESICO</v>
      </c>
      <c r="E1313" s="13" t="str">
        <f t="shared" si="94"/>
        <v>JOHNSON &amp; JOHNSON MEDICAL SPA</v>
      </c>
      <c r="F1313" s="13" t="s">
        <v>14</v>
      </c>
      <c r="G1313" s="15">
        <v>60</v>
      </c>
    </row>
    <row r="1314" spans="1:7" ht="22.5" x14ac:dyDescent="0.25">
      <c r="A1314" s="13">
        <v>13672</v>
      </c>
      <c r="B1314" s="14">
        <v>43430.607245370367</v>
      </c>
      <c r="C1314" s="13" t="s">
        <v>10</v>
      </c>
      <c r="D1314" s="13" t="str">
        <f t="shared" si="97"/>
        <v>MATERIALE PROTESICO</v>
      </c>
      <c r="E1314" s="13" t="str">
        <f t="shared" si="94"/>
        <v>JOHNSON &amp; JOHNSON MEDICAL SPA</v>
      </c>
      <c r="F1314" s="13" t="s">
        <v>14</v>
      </c>
      <c r="G1314" s="15">
        <v>27.36</v>
      </c>
    </row>
    <row r="1315" spans="1:7" ht="22.5" x14ac:dyDescent="0.25">
      <c r="A1315" s="13">
        <v>13673</v>
      </c>
      <c r="B1315" s="14">
        <v>43430.607245370367</v>
      </c>
      <c r="C1315" s="13" t="s">
        <v>10</v>
      </c>
      <c r="D1315" s="13" t="str">
        <f t="shared" si="97"/>
        <v>MATERIALE PROTESICO</v>
      </c>
      <c r="E1315" s="13" t="str">
        <f t="shared" si="94"/>
        <v>JOHNSON &amp; JOHNSON MEDICAL SPA</v>
      </c>
      <c r="F1315" s="13" t="s">
        <v>14</v>
      </c>
      <c r="G1315" s="15">
        <v>27.36</v>
      </c>
    </row>
    <row r="1316" spans="1:7" ht="22.5" x14ac:dyDescent="0.25">
      <c r="A1316" s="13">
        <v>13674</v>
      </c>
      <c r="B1316" s="14">
        <v>43430.607245370367</v>
      </c>
      <c r="C1316" s="13" t="s">
        <v>10</v>
      </c>
      <c r="D1316" s="13" t="str">
        <f t="shared" si="97"/>
        <v>MATERIALE PROTESICO</v>
      </c>
      <c r="E1316" s="13" t="str">
        <f t="shared" si="94"/>
        <v>JOHNSON &amp; JOHNSON MEDICAL SPA</v>
      </c>
      <c r="F1316" s="13" t="s">
        <v>14</v>
      </c>
      <c r="G1316" s="15">
        <v>2212.46</v>
      </c>
    </row>
    <row r="1317" spans="1:7" ht="22.5" x14ac:dyDescent="0.25">
      <c r="A1317" s="13">
        <v>13675</v>
      </c>
      <c r="B1317" s="14">
        <v>43430.607245370367</v>
      </c>
      <c r="C1317" s="13" t="s">
        <v>10</v>
      </c>
      <c r="D1317" s="13" t="str">
        <f t="shared" si="97"/>
        <v>MATERIALE PROTESICO</v>
      </c>
      <c r="E1317" s="13" t="str">
        <f t="shared" si="94"/>
        <v>JOHNSON &amp; JOHNSON MEDICAL SPA</v>
      </c>
      <c r="F1317" s="13" t="s">
        <v>14</v>
      </c>
      <c r="G1317" s="15">
        <v>497.24</v>
      </c>
    </row>
    <row r="1318" spans="1:7" ht="22.5" x14ac:dyDescent="0.25">
      <c r="A1318" s="13">
        <v>13676</v>
      </c>
      <c r="B1318" s="14">
        <v>43430.607245370367</v>
      </c>
      <c r="C1318" s="13" t="s">
        <v>10</v>
      </c>
      <c r="D1318" s="13" t="str">
        <f t="shared" si="97"/>
        <v>MATERIALE PROTESICO</v>
      </c>
      <c r="E1318" s="13" t="str">
        <f t="shared" si="94"/>
        <v>JOHNSON &amp; JOHNSON MEDICAL SPA</v>
      </c>
      <c r="F1318" s="13" t="s">
        <v>14</v>
      </c>
      <c r="G1318" s="15">
        <v>2884.97</v>
      </c>
    </row>
    <row r="1319" spans="1:7" ht="22.5" x14ac:dyDescent="0.25">
      <c r="A1319" s="13">
        <v>13677</v>
      </c>
      <c r="B1319" s="14">
        <v>43430.607245370367</v>
      </c>
      <c r="C1319" s="13" t="s">
        <v>10</v>
      </c>
      <c r="D1319" s="13" t="str">
        <f t="shared" ref="D1319:D1324" si="98">"STRUMENTARIO CHIRURGICO (K, L)"</f>
        <v>STRUMENTARIO CHIRURGICO (K, L)</v>
      </c>
      <c r="E1319" s="13" t="str">
        <f t="shared" si="94"/>
        <v>JOHNSON &amp; JOHNSON MEDICAL SPA</v>
      </c>
      <c r="F1319" s="13" t="s">
        <v>14</v>
      </c>
      <c r="G1319" s="15">
        <v>150.4</v>
      </c>
    </row>
    <row r="1320" spans="1:7" ht="22.5" x14ac:dyDescent="0.25">
      <c r="A1320" s="13">
        <v>13678</v>
      </c>
      <c r="B1320" s="14">
        <v>43430.607245370367</v>
      </c>
      <c r="C1320" s="13" t="s">
        <v>10</v>
      </c>
      <c r="D1320" s="13" t="str">
        <f t="shared" si="98"/>
        <v>STRUMENTARIO CHIRURGICO (K, L)</v>
      </c>
      <c r="E1320" s="13" t="str">
        <f t="shared" si="94"/>
        <v>JOHNSON &amp; JOHNSON MEDICAL SPA</v>
      </c>
      <c r="F1320" s="13" t="s">
        <v>14</v>
      </c>
      <c r="G1320" s="15">
        <v>172.8</v>
      </c>
    </row>
    <row r="1321" spans="1:7" ht="22.5" x14ac:dyDescent="0.25">
      <c r="A1321" s="13">
        <v>13679</v>
      </c>
      <c r="B1321" s="14">
        <v>43430.607245370367</v>
      </c>
      <c r="C1321" s="13" t="s">
        <v>10</v>
      </c>
      <c r="D1321" s="13" t="str">
        <f t="shared" si="98"/>
        <v>STRUMENTARIO CHIRURGICO (K, L)</v>
      </c>
      <c r="E1321" s="13" t="str">
        <f t="shared" si="94"/>
        <v>JOHNSON &amp; JOHNSON MEDICAL SPA</v>
      </c>
      <c r="F1321" s="13" t="s">
        <v>14</v>
      </c>
      <c r="G1321" s="15">
        <v>1350</v>
      </c>
    </row>
    <row r="1322" spans="1:7" ht="22.5" x14ac:dyDescent="0.25">
      <c r="A1322" s="13">
        <v>13680</v>
      </c>
      <c r="B1322" s="14">
        <v>43430.607245370367</v>
      </c>
      <c r="C1322" s="13" t="s">
        <v>10</v>
      </c>
      <c r="D1322" s="13" t="str">
        <f t="shared" si="98"/>
        <v>STRUMENTARIO CHIRURGICO (K, L)</v>
      </c>
      <c r="E1322" s="13" t="str">
        <f t="shared" si="94"/>
        <v>JOHNSON &amp; JOHNSON MEDICAL SPA</v>
      </c>
      <c r="F1322" s="13" t="s">
        <v>14</v>
      </c>
      <c r="G1322" s="15">
        <v>90</v>
      </c>
    </row>
    <row r="1323" spans="1:7" ht="22.5" x14ac:dyDescent="0.25">
      <c r="A1323" s="13">
        <v>13681</v>
      </c>
      <c r="B1323" s="14">
        <v>43430.607245370367</v>
      </c>
      <c r="C1323" s="13" t="s">
        <v>10</v>
      </c>
      <c r="D1323" s="13" t="str">
        <f t="shared" si="98"/>
        <v>STRUMENTARIO CHIRURGICO (K, L)</v>
      </c>
      <c r="E1323" s="13" t="str">
        <f t="shared" si="94"/>
        <v>JOHNSON &amp; JOHNSON MEDICAL SPA</v>
      </c>
      <c r="F1323" s="13" t="s">
        <v>14</v>
      </c>
      <c r="G1323" s="15">
        <v>180</v>
      </c>
    </row>
    <row r="1324" spans="1:7" ht="22.5" x14ac:dyDescent="0.25">
      <c r="A1324" s="13">
        <v>13682</v>
      </c>
      <c r="B1324" s="14">
        <v>43430.607245370367</v>
      </c>
      <c r="C1324" s="13" t="s">
        <v>10</v>
      </c>
      <c r="D1324" s="13" t="str">
        <f t="shared" si="98"/>
        <v>STRUMENTARIO CHIRURGICO (K, L)</v>
      </c>
      <c r="E1324" s="13" t="str">
        <f t="shared" si="94"/>
        <v>JOHNSON &amp; JOHNSON MEDICAL SPA</v>
      </c>
      <c r="F1324" s="13" t="s">
        <v>14</v>
      </c>
      <c r="G1324" s="15">
        <v>31</v>
      </c>
    </row>
    <row r="1325" spans="1:7" ht="22.5" x14ac:dyDescent="0.25">
      <c r="A1325" s="13">
        <v>13683</v>
      </c>
      <c r="B1325" s="14">
        <v>43430.607256944444</v>
      </c>
      <c r="C1325" s="13" t="s">
        <v>10</v>
      </c>
      <c r="D1325" s="13" t="str">
        <f t="shared" ref="D1325:D1336" si="99">"MATERIALE PROTESICO"</f>
        <v>MATERIALE PROTESICO</v>
      </c>
      <c r="E1325" s="13" t="str">
        <f t="shared" si="94"/>
        <v>JOHNSON &amp; JOHNSON MEDICAL SPA</v>
      </c>
      <c r="F1325" s="13" t="s">
        <v>14</v>
      </c>
      <c r="G1325" s="15">
        <v>2650</v>
      </c>
    </row>
    <row r="1326" spans="1:7" ht="22.5" x14ac:dyDescent="0.25">
      <c r="A1326" s="13">
        <v>13684</v>
      </c>
      <c r="B1326" s="14">
        <v>43430.607256944444</v>
      </c>
      <c r="C1326" s="13" t="s">
        <v>10</v>
      </c>
      <c r="D1326" s="13" t="str">
        <f t="shared" si="99"/>
        <v>MATERIALE PROTESICO</v>
      </c>
      <c r="E1326" s="13" t="str">
        <f t="shared" si="94"/>
        <v>JOHNSON &amp; JOHNSON MEDICAL SPA</v>
      </c>
      <c r="F1326" s="13" t="s">
        <v>14</v>
      </c>
      <c r="G1326" s="15">
        <v>266.66000000000003</v>
      </c>
    </row>
    <row r="1327" spans="1:7" ht="22.5" x14ac:dyDescent="0.25">
      <c r="A1327" s="13">
        <v>13685</v>
      </c>
      <c r="B1327" s="14">
        <v>43430.607256944444</v>
      </c>
      <c r="C1327" s="13" t="s">
        <v>10</v>
      </c>
      <c r="D1327" s="13" t="str">
        <f t="shared" si="99"/>
        <v>MATERIALE PROTESICO</v>
      </c>
      <c r="E1327" s="13" t="str">
        <f t="shared" si="94"/>
        <v>JOHNSON &amp; JOHNSON MEDICAL SPA</v>
      </c>
      <c r="F1327" s="13" t="s">
        <v>14</v>
      </c>
      <c r="G1327" s="15">
        <v>266.66000000000003</v>
      </c>
    </row>
    <row r="1328" spans="1:7" ht="22.5" x14ac:dyDescent="0.25">
      <c r="A1328" s="13">
        <v>13686</v>
      </c>
      <c r="B1328" s="14">
        <v>43430.607256944444</v>
      </c>
      <c r="C1328" s="13" t="s">
        <v>10</v>
      </c>
      <c r="D1328" s="13" t="str">
        <f t="shared" si="99"/>
        <v>MATERIALE PROTESICO</v>
      </c>
      <c r="E1328" s="13" t="str">
        <f t="shared" si="94"/>
        <v>JOHNSON &amp; JOHNSON MEDICAL SPA</v>
      </c>
      <c r="F1328" s="13" t="s">
        <v>14</v>
      </c>
      <c r="G1328" s="15">
        <v>220.08</v>
      </c>
    </row>
    <row r="1329" spans="1:7" ht="22.5" x14ac:dyDescent="0.25">
      <c r="A1329" s="13">
        <v>13687</v>
      </c>
      <c r="B1329" s="14">
        <v>43430.607256944444</v>
      </c>
      <c r="C1329" s="13" t="s">
        <v>10</v>
      </c>
      <c r="D1329" s="13" t="str">
        <f t="shared" si="99"/>
        <v>MATERIALE PROTESICO</v>
      </c>
      <c r="E1329" s="13" t="str">
        <f t="shared" si="94"/>
        <v>JOHNSON &amp; JOHNSON MEDICAL SPA</v>
      </c>
      <c r="F1329" s="13" t="s">
        <v>14</v>
      </c>
      <c r="G1329" s="15">
        <v>144</v>
      </c>
    </row>
    <row r="1330" spans="1:7" ht="22.5" x14ac:dyDescent="0.25">
      <c r="A1330" s="13">
        <v>13688</v>
      </c>
      <c r="B1330" s="14">
        <v>43430.607256944444</v>
      </c>
      <c r="C1330" s="13" t="s">
        <v>10</v>
      </c>
      <c r="D1330" s="13" t="str">
        <f t="shared" si="99"/>
        <v>MATERIALE PROTESICO</v>
      </c>
      <c r="E1330" s="13" t="str">
        <f t="shared" si="94"/>
        <v>JOHNSON &amp; JOHNSON MEDICAL SPA</v>
      </c>
      <c r="F1330" s="13" t="s">
        <v>14</v>
      </c>
      <c r="G1330" s="15">
        <v>240.47</v>
      </c>
    </row>
    <row r="1331" spans="1:7" ht="22.5" x14ac:dyDescent="0.25">
      <c r="A1331" s="13">
        <v>13689</v>
      </c>
      <c r="B1331" s="14">
        <v>43430.607256944444</v>
      </c>
      <c r="C1331" s="13" t="s">
        <v>10</v>
      </c>
      <c r="D1331" s="13" t="str">
        <f t="shared" si="99"/>
        <v>MATERIALE PROTESICO</v>
      </c>
      <c r="E1331" s="13" t="str">
        <f t="shared" si="94"/>
        <v>JOHNSON &amp; JOHNSON MEDICAL SPA</v>
      </c>
      <c r="F1331" s="13" t="s">
        <v>14</v>
      </c>
      <c r="G1331" s="15">
        <v>2558.87</v>
      </c>
    </row>
    <row r="1332" spans="1:7" ht="22.5" x14ac:dyDescent="0.25">
      <c r="A1332" s="13">
        <v>13690</v>
      </c>
      <c r="B1332" s="14">
        <v>43430.607256944444</v>
      </c>
      <c r="C1332" s="13" t="s">
        <v>10</v>
      </c>
      <c r="D1332" s="13" t="str">
        <f t="shared" si="99"/>
        <v>MATERIALE PROTESICO</v>
      </c>
      <c r="E1332" s="13" t="str">
        <f t="shared" ref="E1332:E1356" si="100">"JOHNSON &amp; JOHNSON MEDICAL SPA"</f>
        <v>JOHNSON &amp; JOHNSON MEDICAL SPA</v>
      </c>
      <c r="F1332" s="13" t="s">
        <v>14</v>
      </c>
      <c r="G1332" s="15">
        <v>266.66000000000003</v>
      </c>
    </row>
    <row r="1333" spans="1:7" ht="22.5" x14ac:dyDescent="0.25">
      <c r="A1333" s="13">
        <v>13691</v>
      </c>
      <c r="B1333" s="14">
        <v>43430.607256944444</v>
      </c>
      <c r="C1333" s="13" t="s">
        <v>10</v>
      </c>
      <c r="D1333" s="13" t="str">
        <f t="shared" si="99"/>
        <v>MATERIALE PROTESICO</v>
      </c>
      <c r="E1333" s="13" t="str">
        <f t="shared" si="100"/>
        <v>JOHNSON &amp; JOHNSON MEDICAL SPA</v>
      </c>
      <c r="F1333" s="13" t="s">
        <v>14</v>
      </c>
      <c r="G1333" s="15">
        <v>864.25</v>
      </c>
    </row>
    <row r="1334" spans="1:7" ht="22.5" x14ac:dyDescent="0.25">
      <c r="A1334" s="13">
        <v>13692</v>
      </c>
      <c r="B1334" s="14">
        <v>43430.607256944444</v>
      </c>
      <c r="C1334" s="13" t="s">
        <v>10</v>
      </c>
      <c r="D1334" s="13" t="str">
        <f t="shared" si="99"/>
        <v>MATERIALE PROTESICO</v>
      </c>
      <c r="E1334" s="13" t="str">
        <f t="shared" si="100"/>
        <v>JOHNSON &amp; JOHNSON MEDICAL SPA</v>
      </c>
      <c r="F1334" s="13" t="s">
        <v>14</v>
      </c>
      <c r="G1334" s="15">
        <v>704.16</v>
      </c>
    </row>
    <row r="1335" spans="1:7" ht="22.5" x14ac:dyDescent="0.25">
      <c r="A1335" s="13">
        <v>13693</v>
      </c>
      <c r="B1335" s="14">
        <v>43430.607256944444</v>
      </c>
      <c r="C1335" s="13" t="s">
        <v>10</v>
      </c>
      <c r="D1335" s="13" t="str">
        <f t="shared" si="99"/>
        <v>MATERIALE PROTESICO</v>
      </c>
      <c r="E1335" s="13" t="str">
        <f t="shared" si="100"/>
        <v>JOHNSON &amp; JOHNSON MEDICAL SPA</v>
      </c>
      <c r="F1335" s="13" t="s">
        <v>14</v>
      </c>
      <c r="G1335" s="15">
        <v>220.01</v>
      </c>
    </row>
    <row r="1336" spans="1:7" ht="22.5" x14ac:dyDescent="0.25">
      <c r="A1336" s="13">
        <v>13694</v>
      </c>
      <c r="B1336" s="14">
        <v>43430.607256944444</v>
      </c>
      <c r="C1336" s="13" t="s">
        <v>10</v>
      </c>
      <c r="D1336" s="13" t="str">
        <f t="shared" si="99"/>
        <v>MATERIALE PROTESICO</v>
      </c>
      <c r="E1336" s="13" t="str">
        <f t="shared" si="100"/>
        <v>JOHNSON &amp; JOHNSON MEDICAL SPA</v>
      </c>
      <c r="F1336" s="13" t="s">
        <v>14</v>
      </c>
      <c r="G1336" s="15">
        <v>42.24</v>
      </c>
    </row>
    <row r="1337" spans="1:7" ht="33.75" x14ac:dyDescent="0.25">
      <c r="A1337" s="13">
        <v>13695</v>
      </c>
      <c r="B1337" s="14">
        <v>43430.607256944444</v>
      </c>
      <c r="C1337" s="13" t="s">
        <v>10</v>
      </c>
      <c r="D1337" s="13" t="str">
        <f>"PRESIDI MEDICO-CHIRURGICI GENERICI E AUSILI TECNICI PER DISABILI H"</f>
        <v>PRESIDI MEDICO-CHIRURGICI GENERICI E AUSILI TECNICI PER DISABILI H</v>
      </c>
      <c r="E1337" s="13" t="str">
        <f t="shared" si="100"/>
        <v>JOHNSON &amp; JOHNSON MEDICAL SPA</v>
      </c>
      <c r="F1337" s="13" t="s">
        <v>14</v>
      </c>
      <c r="G1337" s="15">
        <v>768</v>
      </c>
    </row>
    <row r="1338" spans="1:7" ht="22.5" x14ac:dyDescent="0.25">
      <c r="A1338" s="13">
        <v>13696</v>
      </c>
      <c r="B1338" s="14">
        <v>43430.607256944444</v>
      </c>
      <c r="C1338" s="13" t="s">
        <v>10</v>
      </c>
      <c r="D1338" s="13" t="str">
        <f>"STRUMENTARIO CHIRURGICO (K, L)"</f>
        <v>STRUMENTARIO CHIRURGICO (K, L)</v>
      </c>
      <c r="E1338" s="13" t="str">
        <f t="shared" si="100"/>
        <v>JOHNSON &amp; JOHNSON MEDICAL SPA</v>
      </c>
      <c r="F1338" s="13" t="s">
        <v>14</v>
      </c>
      <c r="G1338" s="15">
        <v>26.13</v>
      </c>
    </row>
    <row r="1339" spans="1:7" ht="22.5" x14ac:dyDescent="0.25">
      <c r="A1339" s="13">
        <v>13697</v>
      </c>
      <c r="B1339" s="14">
        <v>43430.607268518521</v>
      </c>
      <c r="C1339" s="13" t="s">
        <v>10</v>
      </c>
      <c r="D1339" s="13" t="str">
        <f t="shared" ref="D1339:D1353" si="101">"MATERIALE PROTESICO"</f>
        <v>MATERIALE PROTESICO</v>
      </c>
      <c r="E1339" s="13" t="str">
        <f t="shared" si="100"/>
        <v>JOHNSON &amp; JOHNSON MEDICAL SPA</v>
      </c>
      <c r="F1339" s="13" t="s">
        <v>14</v>
      </c>
      <c r="G1339" s="15">
        <v>70.849999999999994</v>
      </c>
    </row>
    <row r="1340" spans="1:7" ht="22.5" x14ac:dyDescent="0.25">
      <c r="A1340" s="13">
        <v>13698</v>
      </c>
      <c r="B1340" s="14">
        <v>43430.607268518521</v>
      </c>
      <c r="C1340" s="13" t="s">
        <v>10</v>
      </c>
      <c r="D1340" s="13" t="str">
        <f t="shared" si="101"/>
        <v>MATERIALE PROTESICO</v>
      </c>
      <c r="E1340" s="13" t="str">
        <f t="shared" si="100"/>
        <v>JOHNSON &amp; JOHNSON MEDICAL SPA</v>
      </c>
      <c r="F1340" s="13" t="s">
        <v>14</v>
      </c>
      <c r="G1340" s="15">
        <v>20.149999999999999</v>
      </c>
    </row>
    <row r="1341" spans="1:7" ht="22.5" x14ac:dyDescent="0.25">
      <c r="A1341" s="13">
        <v>13699</v>
      </c>
      <c r="B1341" s="14">
        <v>43430.607268518521</v>
      </c>
      <c r="C1341" s="13" t="s">
        <v>10</v>
      </c>
      <c r="D1341" s="13" t="str">
        <f t="shared" si="101"/>
        <v>MATERIALE PROTESICO</v>
      </c>
      <c r="E1341" s="13" t="str">
        <f t="shared" si="100"/>
        <v>JOHNSON &amp; JOHNSON MEDICAL SPA</v>
      </c>
      <c r="F1341" s="13" t="s">
        <v>14</v>
      </c>
      <c r="G1341" s="15">
        <v>266.66000000000003</v>
      </c>
    </row>
    <row r="1342" spans="1:7" ht="22.5" x14ac:dyDescent="0.25">
      <c r="A1342" s="13">
        <v>13700</v>
      </c>
      <c r="B1342" s="14">
        <v>43430.607268518521</v>
      </c>
      <c r="C1342" s="13" t="s">
        <v>10</v>
      </c>
      <c r="D1342" s="13" t="str">
        <f t="shared" si="101"/>
        <v>MATERIALE PROTESICO</v>
      </c>
      <c r="E1342" s="13" t="str">
        <f t="shared" si="100"/>
        <v>JOHNSON &amp; JOHNSON MEDICAL SPA</v>
      </c>
      <c r="F1342" s="13" t="s">
        <v>14</v>
      </c>
      <c r="G1342" s="15">
        <v>716.4</v>
      </c>
    </row>
    <row r="1343" spans="1:7" ht="22.5" x14ac:dyDescent="0.25">
      <c r="A1343" s="13">
        <v>13701</v>
      </c>
      <c r="B1343" s="14">
        <v>43430.607268518521</v>
      </c>
      <c r="C1343" s="13" t="s">
        <v>10</v>
      </c>
      <c r="D1343" s="13" t="str">
        <f t="shared" si="101"/>
        <v>MATERIALE PROTESICO</v>
      </c>
      <c r="E1343" s="13" t="str">
        <f t="shared" si="100"/>
        <v>JOHNSON &amp; JOHNSON MEDICAL SPA</v>
      </c>
      <c r="F1343" s="13" t="s">
        <v>14</v>
      </c>
      <c r="G1343" s="15">
        <v>303.12</v>
      </c>
    </row>
    <row r="1344" spans="1:7" ht="22.5" x14ac:dyDescent="0.25">
      <c r="A1344" s="13">
        <v>13702</v>
      </c>
      <c r="B1344" s="14">
        <v>43430.607268518521</v>
      </c>
      <c r="C1344" s="13" t="s">
        <v>10</v>
      </c>
      <c r="D1344" s="13" t="str">
        <f t="shared" si="101"/>
        <v>MATERIALE PROTESICO</v>
      </c>
      <c r="E1344" s="13" t="str">
        <f t="shared" si="100"/>
        <v>JOHNSON &amp; JOHNSON MEDICAL SPA</v>
      </c>
      <c r="F1344" s="13" t="s">
        <v>14</v>
      </c>
      <c r="G1344" s="15">
        <v>144</v>
      </c>
    </row>
    <row r="1345" spans="1:7" ht="22.5" x14ac:dyDescent="0.25">
      <c r="A1345" s="13">
        <v>13703</v>
      </c>
      <c r="B1345" s="14">
        <v>43430.607268518521</v>
      </c>
      <c r="C1345" s="13" t="s">
        <v>10</v>
      </c>
      <c r="D1345" s="13" t="str">
        <f t="shared" si="101"/>
        <v>MATERIALE PROTESICO</v>
      </c>
      <c r="E1345" s="13" t="str">
        <f t="shared" si="100"/>
        <v>JOHNSON &amp; JOHNSON MEDICAL SPA</v>
      </c>
      <c r="F1345" s="13" t="s">
        <v>14</v>
      </c>
      <c r="G1345" s="15">
        <v>1036.8599999999999</v>
      </c>
    </row>
    <row r="1346" spans="1:7" ht="22.5" x14ac:dyDescent="0.25">
      <c r="A1346" s="13">
        <v>13704</v>
      </c>
      <c r="B1346" s="14">
        <v>43430.607268518521</v>
      </c>
      <c r="C1346" s="13" t="s">
        <v>10</v>
      </c>
      <c r="D1346" s="13" t="str">
        <f t="shared" si="101"/>
        <v>MATERIALE PROTESICO</v>
      </c>
      <c r="E1346" s="13" t="str">
        <f t="shared" si="100"/>
        <v>JOHNSON &amp; JOHNSON MEDICAL SPA</v>
      </c>
      <c r="F1346" s="13" t="s">
        <v>14</v>
      </c>
      <c r="G1346" s="15">
        <v>266.66000000000003</v>
      </c>
    </row>
    <row r="1347" spans="1:7" ht="22.5" x14ac:dyDescent="0.25">
      <c r="A1347" s="13">
        <v>13705</v>
      </c>
      <c r="B1347" s="14">
        <v>43430.607268518521</v>
      </c>
      <c r="C1347" s="13" t="s">
        <v>10</v>
      </c>
      <c r="D1347" s="13" t="str">
        <f t="shared" si="101"/>
        <v>MATERIALE PROTESICO</v>
      </c>
      <c r="E1347" s="13" t="str">
        <f t="shared" si="100"/>
        <v>JOHNSON &amp; JOHNSON MEDICAL SPA</v>
      </c>
      <c r="F1347" s="13" t="s">
        <v>14</v>
      </c>
      <c r="G1347" s="15">
        <v>79.95</v>
      </c>
    </row>
    <row r="1348" spans="1:7" ht="22.5" x14ac:dyDescent="0.25">
      <c r="A1348" s="13">
        <v>13706</v>
      </c>
      <c r="B1348" s="14">
        <v>43430.607268518521</v>
      </c>
      <c r="C1348" s="13" t="s">
        <v>10</v>
      </c>
      <c r="D1348" s="13" t="str">
        <f t="shared" si="101"/>
        <v>MATERIALE PROTESICO</v>
      </c>
      <c r="E1348" s="13" t="str">
        <f t="shared" si="100"/>
        <v>JOHNSON &amp; JOHNSON MEDICAL SPA</v>
      </c>
      <c r="F1348" s="13" t="s">
        <v>14</v>
      </c>
      <c r="G1348" s="15">
        <v>66.3</v>
      </c>
    </row>
    <row r="1349" spans="1:7" ht="22.5" x14ac:dyDescent="0.25">
      <c r="A1349" s="13">
        <v>13707</v>
      </c>
      <c r="B1349" s="14">
        <v>43430.607268518521</v>
      </c>
      <c r="C1349" s="13" t="s">
        <v>10</v>
      </c>
      <c r="D1349" s="13" t="str">
        <f t="shared" si="101"/>
        <v>MATERIALE PROTESICO</v>
      </c>
      <c r="E1349" s="13" t="str">
        <f t="shared" si="100"/>
        <v>JOHNSON &amp; JOHNSON MEDICAL SPA</v>
      </c>
      <c r="F1349" s="13" t="s">
        <v>14</v>
      </c>
      <c r="G1349" s="15">
        <v>856.91</v>
      </c>
    </row>
    <row r="1350" spans="1:7" ht="22.5" x14ac:dyDescent="0.25">
      <c r="A1350" s="13">
        <v>13708</v>
      </c>
      <c r="B1350" s="14">
        <v>43430.607268518521</v>
      </c>
      <c r="C1350" s="13" t="s">
        <v>10</v>
      </c>
      <c r="D1350" s="13" t="str">
        <f t="shared" si="101"/>
        <v>MATERIALE PROTESICO</v>
      </c>
      <c r="E1350" s="13" t="str">
        <f t="shared" si="100"/>
        <v>JOHNSON &amp; JOHNSON MEDICAL SPA</v>
      </c>
      <c r="F1350" s="13" t="s">
        <v>14</v>
      </c>
      <c r="G1350" s="15">
        <v>311</v>
      </c>
    </row>
    <row r="1351" spans="1:7" ht="22.5" x14ac:dyDescent="0.25">
      <c r="A1351" s="13">
        <v>13709</v>
      </c>
      <c r="B1351" s="14">
        <v>43430.607268518521</v>
      </c>
      <c r="C1351" s="13" t="s">
        <v>10</v>
      </c>
      <c r="D1351" s="13" t="str">
        <f t="shared" si="101"/>
        <v>MATERIALE PROTESICO</v>
      </c>
      <c r="E1351" s="13" t="str">
        <f t="shared" si="100"/>
        <v>JOHNSON &amp; JOHNSON MEDICAL SPA</v>
      </c>
      <c r="F1351" s="13" t="s">
        <v>14</v>
      </c>
      <c r="G1351" s="15">
        <v>180</v>
      </c>
    </row>
    <row r="1352" spans="1:7" ht="22.5" x14ac:dyDescent="0.25">
      <c r="A1352" s="13">
        <v>13710</v>
      </c>
      <c r="B1352" s="14">
        <v>43430.607268518521</v>
      </c>
      <c r="C1352" s="13" t="s">
        <v>10</v>
      </c>
      <c r="D1352" s="13" t="str">
        <f t="shared" si="101"/>
        <v>MATERIALE PROTESICO</v>
      </c>
      <c r="E1352" s="13" t="str">
        <f t="shared" si="100"/>
        <v>JOHNSON &amp; JOHNSON MEDICAL SPA</v>
      </c>
      <c r="F1352" s="13" t="s">
        <v>14</v>
      </c>
      <c r="G1352" s="15">
        <v>84</v>
      </c>
    </row>
    <row r="1353" spans="1:7" ht="22.5" x14ac:dyDescent="0.25">
      <c r="A1353" s="13">
        <v>13711</v>
      </c>
      <c r="B1353" s="14">
        <v>43430.607268518521</v>
      </c>
      <c r="C1353" s="13" t="s">
        <v>10</v>
      </c>
      <c r="D1353" s="13" t="str">
        <f t="shared" si="101"/>
        <v>MATERIALE PROTESICO</v>
      </c>
      <c r="E1353" s="13" t="str">
        <f t="shared" si="100"/>
        <v>JOHNSON &amp; JOHNSON MEDICAL SPA</v>
      </c>
      <c r="F1353" s="13" t="s">
        <v>14</v>
      </c>
      <c r="G1353" s="15">
        <v>336</v>
      </c>
    </row>
    <row r="1354" spans="1:7" ht="22.5" x14ac:dyDescent="0.25">
      <c r="A1354" s="13">
        <v>13712</v>
      </c>
      <c r="B1354" s="14">
        <v>43430.607268518521</v>
      </c>
      <c r="C1354" s="13" t="s">
        <v>10</v>
      </c>
      <c r="D1354" s="13" t="str">
        <f>"STRUMENTARIO CHIRURGICO (K, L)"</f>
        <v>STRUMENTARIO CHIRURGICO (K, L)</v>
      </c>
      <c r="E1354" s="13" t="str">
        <f t="shared" si="100"/>
        <v>JOHNSON &amp; JOHNSON MEDICAL SPA</v>
      </c>
      <c r="F1354" s="13" t="s">
        <v>14</v>
      </c>
      <c r="G1354" s="15">
        <v>171.39</v>
      </c>
    </row>
    <row r="1355" spans="1:7" ht="22.5" x14ac:dyDescent="0.25">
      <c r="A1355" s="13">
        <v>13713</v>
      </c>
      <c r="B1355" s="14">
        <v>43430.607268518521</v>
      </c>
      <c r="C1355" s="13" t="s">
        <v>10</v>
      </c>
      <c r="D1355" s="13" t="str">
        <f>"STRUMENTARIO CHIRURGICO (K, L)"</f>
        <v>STRUMENTARIO CHIRURGICO (K, L)</v>
      </c>
      <c r="E1355" s="13" t="str">
        <f t="shared" si="100"/>
        <v>JOHNSON &amp; JOHNSON MEDICAL SPA</v>
      </c>
      <c r="F1355" s="13" t="s">
        <v>14</v>
      </c>
      <c r="G1355" s="15">
        <v>24.8</v>
      </c>
    </row>
    <row r="1356" spans="1:7" ht="22.5" x14ac:dyDescent="0.25">
      <c r="A1356" s="13">
        <v>13714</v>
      </c>
      <c r="B1356" s="14">
        <v>43430.607268518521</v>
      </c>
      <c r="C1356" s="13" t="s">
        <v>10</v>
      </c>
      <c r="D1356" s="13" t="str">
        <f>"STRUMENTARIO CHIRURGICO (K, L)"</f>
        <v>STRUMENTARIO CHIRURGICO (K, L)</v>
      </c>
      <c r="E1356" s="13" t="str">
        <f t="shared" si="100"/>
        <v>JOHNSON &amp; JOHNSON MEDICAL SPA</v>
      </c>
      <c r="F1356" s="13" t="s">
        <v>14</v>
      </c>
      <c r="G1356" s="15">
        <v>23.04</v>
      </c>
    </row>
    <row r="1357" spans="1:7" ht="22.5" x14ac:dyDescent="0.25">
      <c r="A1357" s="13">
        <v>13715</v>
      </c>
      <c r="B1357" s="14">
        <v>43431.388252314813</v>
      </c>
      <c r="C1357" s="13" t="s">
        <v>10</v>
      </c>
      <c r="D1357" s="13" t="str">
        <f t="shared" ref="D1357:D1362" si="102">"FARMACI FILE F"</f>
        <v>FARMACI FILE F</v>
      </c>
      <c r="E1357" s="13" t="str">
        <f>"ABBVIE SRL a Socio Unico"</f>
        <v>ABBVIE SRL a Socio Unico</v>
      </c>
      <c r="F1357" s="13" t="s">
        <v>14</v>
      </c>
      <c r="G1357" s="15">
        <v>78010.240000000005</v>
      </c>
    </row>
    <row r="1358" spans="1:7" ht="22.5" x14ac:dyDescent="0.25">
      <c r="A1358" s="13">
        <v>13716</v>
      </c>
      <c r="B1358" s="14">
        <v>43431.388252314813</v>
      </c>
      <c r="C1358" s="13" t="s">
        <v>10</v>
      </c>
      <c r="D1358" s="13" t="str">
        <f t="shared" si="102"/>
        <v>FARMACI FILE F</v>
      </c>
      <c r="E1358" s="13" t="str">
        <f>"NOVARTIS FARMA SPA con Socio Unico"</f>
        <v>NOVARTIS FARMA SPA con Socio Unico</v>
      </c>
      <c r="F1358" s="13" t="s">
        <v>14</v>
      </c>
      <c r="G1358" s="15">
        <v>13797.44</v>
      </c>
    </row>
    <row r="1359" spans="1:7" ht="22.5" x14ac:dyDescent="0.25">
      <c r="A1359" s="13">
        <v>13717</v>
      </c>
      <c r="B1359" s="14">
        <v>43431.388252314813</v>
      </c>
      <c r="C1359" s="13" t="s">
        <v>10</v>
      </c>
      <c r="D1359" s="13" t="str">
        <f t="shared" si="102"/>
        <v>FARMACI FILE F</v>
      </c>
      <c r="E1359" s="13" t="str">
        <f>"NOVARTIS FARMA SPA con Socio Unico"</f>
        <v>NOVARTIS FARMA SPA con Socio Unico</v>
      </c>
      <c r="F1359" s="13" t="s">
        <v>14</v>
      </c>
      <c r="G1359" s="15">
        <v>10348.08</v>
      </c>
    </row>
    <row r="1360" spans="1:7" ht="22.5" x14ac:dyDescent="0.25">
      <c r="A1360" s="13">
        <v>13718</v>
      </c>
      <c r="B1360" s="14">
        <v>43431.388252314813</v>
      </c>
      <c r="C1360" s="13" t="s">
        <v>10</v>
      </c>
      <c r="D1360" s="13" t="str">
        <f t="shared" si="102"/>
        <v>FARMACI FILE F</v>
      </c>
      <c r="E1360" s="13" t="str">
        <f>"NOVARTIS FARMA SPA con Socio Unico"</f>
        <v>NOVARTIS FARMA SPA con Socio Unico</v>
      </c>
      <c r="F1360" s="13" t="s">
        <v>14</v>
      </c>
      <c r="G1360" s="15">
        <v>9485.74</v>
      </c>
    </row>
    <row r="1361" spans="1:7" ht="22.5" x14ac:dyDescent="0.25">
      <c r="A1361" s="13">
        <v>13719</v>
      </c>
      <c r="B1361" s="14">
        <v>43431.388252314813</v>
      </c>
      <c r="C1361" s="13" t="s">
        <v>10</v>
      </c>
      <c r="D1361" s="13" t="str">
        <f t="shared" si="102"/>
        <v>FARMACI FILE F</v>
      </c>
      <c r="E1361" s="13" t="str">
        <f>"NOVARTIS FARMA SPA con Socio Unico"</f>
        <v>NOVARTIS FARMA SPA con Socio Unico</v>
      </c>
      <c r="F1361" s="13" t="s">
        <v>14</v>
      </c>
      <c r="G1361" s="15">
        <v>43367.5</v>
      </c>
    </row>
    <row r="1362" spans="1:7" ht="22.5" x14ac:dyDescent="0.25">
      <c r="A1362" s="13">
        <v>13720</v>
      </c>
      <c r="B1362" s="14">
        <v>43431.388252314813</v>
      </c>
      <c r="C1362" s="13" t="s">
        <v>10</v>
      </c>
      <c r="D1362" s="13" t="str">
        <f t="shared" si="102"/>
        <v>FARMACI FILE F</v>
      </c>
      <c r="E1362" s="13" t="str">
        <f>"NOVARTIS FARMA SPA con Socio Unico"</f>
        <v>NOVARTIS FARMA SPA con Socio Unico</v>
      </c>
      <c r="F1362" s="13" t="s">
        <v>14</v>
      </c>
      <c r="G1362" s="15">
        <v>459.6</v>
      </c>
    </row>
    <row r="1363" spans="1:7" ht="22.5" x14ac:dyDescent="0.25">
      <c r="A1363" s="13">
        <v>13721</v>
      </c>
      <c r="B1363" s="14">
        <v>43431.388252314813</v>
      </c>
      <c r="C1363" s="13" t="s">
        <v>10</v>
      </c>
      <c r="D1363" s="13" t="str">
        <f>"MATERIALE PROTESICO"</f>
        <v>MATERIALE PROTESICO</v>
      </c>
      <c r="E1363" s="13" t="str">
        <f>"MYRMEX INNOVATION SRL"</f>
        <v>MYRMEX INNOVATION SRL</v>
      </c>
      <c r="F1363" s="13" t="s">
        <v>14</v>
      </c>
      <c r="G1363" s="15">
        <v>1015.28</v>
      </c>
    </row>
    <row r="1364" spans="1:7" ht="33.75" x14ac:dyDescent="0.25">
      <c r="A1364" s="13">
        <v>13722</v>
      </c>
      <c r="B1364" s="14">
        <v>43431.388252314813</v>
      </c>
      <c r="C1364" s="13" t="s">
        <v>10</v>
      </c>
      <c r="D1364" s="13" t="str">
        <f>"PRESIDI MEDICO-CHIRURGICI GENERICI E AUSILI TECNICI PER DISABILI T"</f>
        <v>PRESIDI MEDICO-CHIRURGICI GENERICI E AUSILI TECNICI PER DISABILI T</v>
      </c>
      <c r="E1364" s="13" t="str">
        <f>"NACATUR INTERNATIONAL IMPORT-EXPORT SRL"</f>
        <v>NACATUR INTERNATIONAL IMPORT-EXPORT SRL</v>
      </c>
      <c r="F1364" s="13" t="s">
        <v>14</v>
      </c>
      <c r="G1364" s="15">
        <v>1630</v>
      </c>
    </row>
    <row r="1365" spans="1:7" ht="22.5" x14ac:dyDescent="0.25">
      <c r="A1365" s="13">
        <v>13723</v>
      </c>
      <c r="B1365" s="14">
        <v>43431.388252314813</v>
      </c>
      <c r="C1365" s="13" t="s">
        <v>10</v>
      </c>
      <c r="D1365" s="13" t="str">
        <f>"PRODOTTI FARMACEUTICI CON AIC"</f>
        <v>PRODOTTI FARMACEUTICI CON AIC</v>
      </c>
      <c r="E1365" s="13" t="str">
        <f>"ABBVIE SRL a Socio Unico"</f>
        <v>ABBVIE SRL a Socio Unico</v>
      </c>
      <c r="F1365" s="13" t="s">
        <v>14</v>
      </c>
      <c r="G1365" s="15">
        <v>570</v>
      </c>
    </row>
    <row r="1366" spans="1:7" ht="22.5" x14ac:dyDescent="0.25">
      <c r="A1366" s="13">
        <v>13724</v>
      </c>
      <c r="B1366" s="14">
        <v>43431.388252314813</v>
      </c>
      <c r="C1366" s="13" t="s">
        <v>10</v>
      </c>
      <c r="D1366" s="13" t="str">
        <f>"PRODOTTI FARMACEUTICI CON AIC"</f>
        <v>PRODOTTI FARMACEUTICI CON AIC</v>
      </c>
      <c r="E1366" s="13" t="str">
        <f>"ABIOGEN PHARMA SPA"</f>
        <v>ABIOGEN PHARMA SPA</v>
      </c>
      <c r="F1366" s="13" t="s">
        <v>14</v>
      </c>
      <c r="G1366" s="15">
        <v>5937.91</v>
      </c>
    </row>
    <row r="1367" spans="1:7" ht="22.5" x14ac:dyDescent="0.25">
      <c r="A1367" s="13">
        <v>13725</v>
      </c>
      <c r="B1367" s="14">
        <v>43431.388252314813</v>
      </c>
      <c r="C1367" s="13" t="s">
        <v>10</v>
      </c>
      <c r="D1367" s="13" t="str">
        <f>"PRODOTTI FARMACEUTICI CON AIC"</f>
        <v>PRODOTTI FARMACEUTICI CON AIC</v>
      </c>
      <c r="E1367" s="13" t="str">
        <f>"NOVARTIS FARMA SPA con Socio Unico"</f>
        <v>NOVARTIS FARMA SPA con Socio Unico</v>
      </c>
      <c r="F1367" s="13" t="s">
        <v>14</v>
      </c>
      <c r="G1367" s="15">
        <v>8711.0300000000007</v>
      </c>
    </row>
    <row r="1368" spans="1:7" ht="22.5" x14ac:dyDescent="0.25">
      <c r="A1368" s="13">
        <v>13726</v>
      </c>
      <c r="B1368" s="14">
        <v>43431.38826388889</v>
      </c>
      <c r="C1368" s="13" t="s">
        <v>10</v>
      </c>
      <c r="D1368" s="13" t="str">
        <f>"ALTRO MATERIALE SANITARIO (SENZA CND)"</f>
        <v>ALTRO MATERIALE SANITARIO (SENZA CND)</v>
      </c>
      <c r="E1368" s="13" t="str">
        <f>"NUOVA FARMEC SRL"</f>
        <v>NUOVA FARMEC SRL</v>
      </c>
      <c r="F1368" s="13" t="s">
        <v>16</v>
      </c>
      <c r="G1368" s="15">
        <v>1018.8</v>
      </c>
    </row>
    <row r="1369" spans="1:7" ht="33.75" x14ac:dyDescent="0.25">
      <c r="A1369" s="13">
        <v>13727</v>
      </c>
      <c r="B1369" s="14">
        <v>43431.38826388889</v>
      </c>
      <c r="C1369" s="13" t="s">
        <v>10</v>
      </c>
      <c r="D1369" s="13" t="str">
        <f>"DISINFETTANTI, PRODOTTI PER STERILIZZAZIONE E DISPOSITIVI VARI D"</f>
        <v>DISINFETTANTI, PRODOTTI PER STERILIZZAZIONE E DISPOSITIVI VARI D</v>
      </c>
      <c r="E1369" s="13" t="str">
        <f>"NUOVA FARMEC SRL"</f>
        <v>NUOVA FARMEC SRL</v>
      </c>
      <c r="F1369" s="13" t="s">
        <v>14</v>
      </c>
      <c r="G1369" s="15">
        <v>831.8</v>
      </c>
    </row>
    <row r="1370" spans="1:7" ht="22.5" x14ac:dyDescent="0.25">
      <c r="A1370" s="13">
        <v>13728</v>
      </c>
      <c r="B1370" s="14">
        <v>43431.38826388889</v>
      </c>
      <c r="C1370" s="13" t="s">
        <v>11</v>
      </c>
      <c r="D1370" s="13" t="str">
        <f>"MANUTENZIONE ALTRI BENI ST"</f>
        <v>MANUTENZIONE ALTRI BENI ST</v>
      </c>
      <c r="E1370" s="13" t="str">
        <f>"OTIS SERVIZI SRL"</f>
        <v>OTIS SERVIZI SRL</v>
      </c>
      <c r="F1370" s="13" t="s">
        <v>22</v>
      </c>
      <c r="G1370" s="15">
        <v>220</v>
      </c>
    </row>
    <row r="1371" spans="1:7" ht="22.5" x14ac:dyDescent="0.25">
      <c r="A1371" s="13">
        <v>13729</v>
      </c>
      <c r="B1371" s="14">
        <v>43431.38826388889</v>
      </c>
      <c r="C1371" s="13" t="s">
        <v>11</v>
      </c>
      <c r="D1371" s="13" t="str">
        <f>"MANUTENZIONE ALTRI BENI ST"</f>
        <v>MANUTENZIONE ALTRI BENI ST</v>
      </c>
      <c r="E1371" s="13" t="str">
        <f>"PADANA ASCENSORI SRL"</f>
        <v>PADANA ASCENSORI SRL</v>
      </c>
      <c r="F1371" s="13" t="s">
        <v>22</v>
      </c>
      <c r="G1371" s="15">
        <v>3586.02</v>
      </c>
    </row>
    <row r="1372" spans="1:7" ht="22.5" x14ac:dyDescent="0.25">
      <c r="A1372" s="13">
        <v>13730</v>
      </c>
      <c r="B1372" s="14">
        <v>43431.38826388889</v>
      </c>
      <c r="C1372" s="13" t="s">
        <v>11</v>
      </c>
      <c r="D1372" s="13" t="str">
        <f>"MANUTENZIONE ALTRI BENI ST"</f>
        <v>MANUTENZIONE ALTRI BENI ST</v>
      </c>
      <c r="E1372" s="13" t="str">
        <f>"PADANA ASCENSORI SRL"</f>
        <v>PADANA ASCENSORI SRL</v>
      </c>
      <c r="F1372" s="13" t="s">
        <v>22</v>
      </c>
      <c r="G1372" s="15">
        <v>7172.05</v>
      </c>
    </row>
    <row r="1373" spans="1:7" ht="22.5" x14ac:dyDescent="0.25">
      <c r="A1373" s="13">
        <v>13731</v>
      </c>
      <c r="B1373" s="14">
        <v>43431.38826388889</v>
      </c>
      <c r="C1373" s="13" t="s">
        <v>10</v>
      </c>
      <c r="D1373" s="13" t="str">
        <f>"MATERIALE PROTESICO"</f>
        <v>MATERIALE PROTESICO</v>
      </c>
      <c r="E1373" s="13" t="str">
        <f>"ORBITAL HIGH TECHNOLOGIES SRL"</f>
        <v>ORBITAL HIGH TECHNOLOGIES SRL</v>
      </c>
      <c r="F1373" s="13" t="s">
        <v>14</v>
      </c>
      <c r="G1373" s="15">
        <v>440</v>
      </c>
    </row>
    <row r="1374" spans="1:7" ht="22.5" x14ac:dyDescent="0.25">
      <c r="A1374" s="13">
        <v>13732</v>
      </c>
      <c r="B1374" s="14">
        <v>43431.38826388889</v>
      </c>
      <c r="C1374" s="13" t="s">
        <v>10</v>
      </c>
      <c r="D1374" s="13" t="str">
        <f>"MATERIALE PROTESICO"</f>
        <v>MATERIALE PROTESICO</v>
      </c>
      <c r="E1374" s="13" t="str">
        <f>"PERMEDICA SPA"</f>
        <v>PERMEDICA SPA</v>
      </c>
      <c r="F1374" s="13" t="s">
        <v>14</v>
      </c>
      <c r="G1374" s="15">
        <v>396</v>
      </c>
    </row>
    <row r="1375" spans="1:7" ht="22.5" x14ac:dyDescent="0.25">
      <c r="A1375" s="13">
        <v>13733</v>
      </c>
      <c r="B1375" s="14">
        <v>43431.38826388889</v>
      </c>
      <c r="C1375" s="13" t="s">
        <v>10</v>
      </c>
      <c r="D1375" s="13" t="str">
        <f>"MATERIALE PROTESICO"</f>
        <v>MATERIALE PROTESICO</v>
      </c>
      <c r="E1375" s="13" t="str">
        <f>"PERMEDICA SPA"</f>
        <v>PERMEDICA SPA</v>
      </c>
      <c r="F1375" s="13" t="s">
        <v>14</v>
      </c>
      <c r="G1375" s="15">
        <v>2155.1999999999998</v>
      </c>
    </row>
    <row r="1376" spans="1:7" ht="22.5" x14ac:dyDescent="0.25">
      <c r="A1376" s="13">
        <v>13734</v>
      </c>
      <c r="B1376" s="14">
        <v>43431.38826388889</v>
      </c>
      <c r="C1376" s="13" t="s">
        <v>10</v>
      </c>
      <c r="D1376" s="13" t="str">
        <f>"MATERIALE PROTESICO"</f>
        <v>MATERIALE PROTESICO</v>
      </c>
      <c r="E1376" s="13" t="str">
        <f>"PERMEDICA SPA"</f>
        <v>PERMEDICA SPA</v>
      </c>
      <c r="F1376" s="13" t="s">
        <v>14</v>
      </c>
      <c r="G1376" s="15">
        <v>1065.5999999999999</v>
      </c>
    </row>
    <row r="1377" spans="1:7" ht="22.5" x14ac:dyDescent="0.25">
      <c r="A1377" s="13">
        <v>13735</v>
      </c>
      <c r="B1377" s="14">
        <v>43431.38826388889</v>
      </c>
      <c r="C1377" s="13" t="s">
        <v>10</v>
      </c>
      <c r="D1377" s="13" t="str">
        <f>"MATERIALE PROTESICO"</f>
        <v>MATERIALE PROTESICO</v>
      </c>
      <c r="E1377" s="13" t="str">
        <f>"PERMEDICA SPA"</f>
        <v>PERMEDICA SPA</v>
      </c>
      <c r="F1377" s="13" t="s">
        <v>14</v>
      </c>
      <c r="G1377" s="15">
        <v>676</v>
      </c>
    </row>
    <row r="1378" spans="1:7" ht="22.5" x14ac:dyDescent="0.25">
      <c r="A1378" s="13">
        <v>13736</v>
      </c>
      <c r="B1378" s="14">
        <v>43431.38826388889</v>
      </c>
      <c r="C1378" s="13" t="s">
        <v>10</v>
      </c>
      <c r="D1378" s="13" t="str">
        <f>"MATERIALI DI GUARDAROBA E CONVIVENZA"</f>
        <v>MATERIALI DI GUARDAROBA E CONVIVENZA</v>
      </c>
      <c r="E1378" s="13" t="str">
        <f>"PAREDES ITALIA SPA"</f>
        <v>PAREDES ITALIA SPA</v>
      </c>
      <c r="F1378" s="13" t="s">
        <v>14</v>
      </c>
      <c r="G1378" s="15">
        <v>918.72</v>
      </c>
    </row>
    <row r="1379" spans="1:7" ht="22.5" x14ac:dyDescent="0.25">
      <c r="A1379" s="13">
        <v>13737</v>
      </c>
      <c r="B1379" s="14">
        <v>43431.38826388889</v>
      </c>
      <c r="C1379" s="13" t="s">
        <v>10</v>
      </c>
      <c r="D1379" s="13" t="str">
        <f>"MATERIALI DI GUARDAROBA E CONVIVENZA"</f>
        <v>MATERIALI DI GUARDAROBA E CONVIVENZA</v>
      </c>
      <c r="E1379" s="13" t="str">
        <f>"PAREDES ITALIA SPA"</f>
        <v>PAREDES ITALIA SPA</v>
      </c>
      <c r="F1379" s="13" t="s">
        <v>14</v>
      </c>
      <c r="G1379" s="15">
        <v>1862.4</v>
      </c>
    </row>
    <row r="1380" spans="1:7" ht="22.5" x14ac:dyDescent="0.25">
      <c r="A1380" s="13">
        <v>13738</v>
      </c>
      <c r="B1380" s="14">
        <v>43431.38826388889</v>
      </c>
      <c r="C1380" s="13" t="s">
        <v>10</v>
      </c>
      <c r="D1380" s="13" t="str">
        <f>"MATERIALI DI GUARDAROBA E CONVIVENZA"</f>
        <v>MATERIALI DI GUARDAROBA E CONVIVENZA</v>
      </c>
      <c r="E1380" s="13" t="str">
        <f>"PDC - PRECISION DYNAMICS EUROPE ITALIAN BRANCH"</f>
        <v>PDC - PRECISION DYNAMICS EUROPE ITALIAN BRANCH</v>
      </c>
      <c r="F1380" s="13" t="s">
        <v>14</v>
      </c>
      <c r="G1380" s="15">
        <v>1980</v>
      </c>
    </row>
    <row r="1381" spans="1:7" ht="33.75" x14ac:dyDescent="0.25">
      <c r="A1381" s="13">
        <v>13739</v>
      </c>
      <c r="B1381" s="14">
        <v>43431.38826388889</v>
      </c>
      <c r="C1381" s="13" t="s">
        <v>10</v>
      </c>
      <c r="D1381" s="13" t="str">
        <f>"PRESIDI MEDICO-CHIRURGICI GENERICI E AUSILI TECNICI PER DISABILI H"</f>
        <v>PRESIDI MEDICO-CHIRURGICI GENERICI E AUSILI TECNICI PER DISABILI H</v>
      </c>
      <c r="E1381" s="13" t="str">
        <f>"NOVATEC SRL"</f>
        <v>NOVATEC SRL</v>
      </c>
      <c r="F1381" s="13" t="s">
        <v>14</v>
      </c>
      <c r="G1381" s="15">
        <v>315.12</v>
      </c>
    </row>
    <row r="1382" spans="1:7" ht="22.5" x14ac:dyDescent="0.25">
      <c r="A1382" s="13">
        <v>13740</v>
      </c>
      <c r="B1382" s="14">
        <v>43431.38826388889</v>
      </c>
      <c r="C1382" s="13" t="s">
        <v>10</v>
      </c>
      <c r="D1382" s="13" t="str">
        <f>"PRODOTTI FARMACEUTICI SENZA AIC"</f>
        <v>PRODOTTI FARMACEUTICI SENZA AIC</v>
      </c>
      <c r="E1382" s="13" t="str">
        <f>"OLCELLI FARMACEUTICI SRL"</f>
        <v>OLCELLI FARMACEUTICI SRL</v>
      </c>
      <c r="F1382" s="13" t="s">
        <v>14</v>
      </c>
      <c r="G1382" s="15">
        <v>407.89</v>
      </c>
    </row>
    <row r="1383" spans="1:7" ht="22.5" x14ac:dyDescent="0.25">
      <c r="A1383" s="13">
        <v>13741</v>
      </c>
      <c r="B1383" s="14">
        <v>43431.388275462959</v>
      </c>
      <c r="C1383" s="13" t="s">
        <v>10</v>
      </c>
      <c r="D1383" s="13" t="str">
        <f>"ALTRO MATERIALE SANITARIO (SENZA CND)"</f>
        <v>ALTRO MATERIALE SANITARIO (SENZA CND)</v>
      </c>
      <c r="E1383" s="13" t="str">
        <f>"PHSE SRL"</f>
        <v>PHSE SRL</v>
      </c>
      <c r="F1383" s="13" t="s">
        <v>16</v>
      </c>
      <c r="G1383" s="15">
        <v>300</v>
      </c>
    </row>
    <row r="1384" spans="1:7" ht="33.75" x14ac:dyDescent="0.25">
      <c r="A1384" s="13">
        <v>13742</v>
      </c>
      <c r="B1384" s="14">
        <v>43431.388275462959</v>
      </c>
      <c r="C1384" s="13" t="s">
        <v>10</v>
      </c>
      <c r="D1384" s="13" t="str">
        <f>"APP.RE SANITARIE E RELATIVI COMPONENTI ACCESSORI E MATERIALE RADIOGRAFICO (Z)"</f>
        <v>APP.RE SANITARIE E RELATIVI COMPONENTI ACCESSORI E MATERIALE RADIOGRAFICO (Z)</v>
      </c>
      <c r="E1384" s="13" t="str">
        <f>"PIRRONE SRL"</f>
        <v>PIRRONE SRL</v>
      </c>
      <c r="F1384" s="13" t="s">
        <v>14</v>
      </c>
      <c r="G1384" s="15">
        <v>378</v>
      </c>
    </row>
    <row r="1385" spans="1:7" ht="33.75" x14ac:dyDescent="0.25">
      <c r="A1385" s="13">
        <v>13743</v>
      </c>
      <c r="B1385" s="14">
        <v>43431.388275462959</v>
      </c>
      <c r="C1385" s="13" t="s">
        <v>10</v>
      </c>
      <c r="D1385" s="13" t="str">
        <f>"APP.RE SANITARIE E RELATIVI COMPONENTI ACCESSORI E MATERIALE RADIOGRAFICO (Z)"</f>
        <v>APP.RE SANITARIE E RELATIVI COMPONENTI ACCESSORI E MATERIALE RADIOGRAFICO (Z)</v>
      </c>
      <c r="E1385" s="13" t="str">
        <f>"PIRRONE SRL"</f>
        <v>PIRRONE SRL</v>
      </c>
      <c r="F1385" s="13" t="s">
        <v>14</v>
      </c>
      <c r="G1385" s="15">
        <v>258</v>
      </c>
    </row>
    <row r="1386" spans="1:7" ht="33.75" x14ac:dyDescent="0.25">
      <c r="A1386" s="13">
        <v>13744</v>
      </c>
      <c r="B1386" s="14">
        <v>43431.388275462959</v>
      </c>
      <c r="C1386" s="13" t="s">
        <v>10</v>
      </c>
      <c r="D1386" s="13" t="str">
        <f>"APP.RE SANITARIE E RELATIVI COMPONENTI ACCESSORI E MATERIALE RADIOGRAFICO (Z)"</f>
        <v>APP.RE SANITARIE E RELATIVI COMPONENTI ACCESSORI E MATERIALE RADIOGRAFICO (Z)</v>
      </c>
      <c r="E1386" s="13" t="str">
        <f>"PIRRONE SRL"</f>
        <v>PIRRONE SRL</v>
      </c>
      <c r="F1386" s="13" t="s">
        <v>14</v>
      </c>
      <c r="G1386" s="15">
        <v>252</v>
      </c>
    </row>
    <row r="1387" spans="1:7" ht="22.5" x14ac:dyDescent="0.25">
      <c r="A1387" s="13">
        <v>13745</v>
      </c>
      <c r="B1387" s="14">
        <v>43431.388275462959</v>
      </c>
      <c r="C1387" s="13" t="s">
        <v>10</v>
      </c>
      <c r="D1387" s="13" t="str">
        <f>"FARMACI FILE F"</f>
        <v>FARMACI FILE F</v>
      </c>
      <c r="E1387" s="13" t="str">
        <f>"PFIZER ITALIA SRL"</f>
        <v>PFIZER ITALIA SRL</v>
      </c>
      <c r="F1387" s="13" t="s">
        <v>14</v>
      </c>
      <c r="G1387" s="15">
        <v>657</v>
      </c>
    </row>
    <row r="1388" spans="1:7" ht="22.5" x14ac:dyDescent="0.25">
      <c r="A1388" s="13">
        <v>13746</v>
      </c>
      <c r="B1388" s="14">
        <v>43431.388275462959</v>
      </c>
      <c r="C1388" s="13" t="s">
        <v>10</v>
      </c>
      <c r="D1388" s="13" t="str">
        <f>"FARMACI FILE F"</f>
        <v>FARMACI FILE F</v>
      </c>
      <c r="E1388" s="13" t="str">
        <f>"PFIZER SRL"</f>
        <v>PFIZER SRL</v>
      </c>
      <c r="F1388" s="13" t="s">
        <v>14</v>
      </c>
      <c r="G1388" s="15">
        <v>54728.639999999999</v>
      </c>
    </row>
    <row r="1389" spans="1:7" ht="22.5" x14ac:dyDescent="0.25">
      <c r="A1389" s="13">
        <v>13747</v>
      </c>
      <c r="B1389" s="14">
        <v>43431.388275462959</v>
      </c>
      <c r="C1389" s="13" t="s">
        <v>10</v>
      </c>
      <c r="D1389" s="13" t="str">
        <f>"FARMACI FILE F"</f>
        <v>FARMACI FILE F</v>
      </c>
      <c r="E1389" s="13" t="str">
        <f>"PFIZER SRL"</f>
        <v>PFIZER SRL</v>
      </c>
      <c r="F1389" s="13" t="s">
        <v>14</v>
      </c>
      <c r="G1389" s="15">
        <v>41193.599999999999</v>
      </c>
    </row>
    <row r="1390" spans="1:7" ht="22.5" x14ac:dyDescent="0.25">
      <c r="A1390" s="13">
        <v>13748</v>
      </c>
      <c r="B1390" s="14">
        <v>43431.388275462959</v>
      </c>
      <c r="C1390" s="13" t="s">
        <v>10</v>
      </c>
      <c r="D1390" s="13" t="str">
        <f>"MATERIALE PROTESICO"</f>
        <v>MATERIALE PROTESICO</v>
      </c>
      <c r="E1390" s="13" t="str">
        <f>"PERMEDICA SPA"</f>
        <v>PERMEDICA SPA</v>
      </c>
      <c r="F1390" s="13" t="s">
        <v>14</v>
      </c>
      <c r="G1390" s="15">
        <v>1850.4</v>
      </c>
    </row>
    <row r="1391" spans="1:7" ht="22.5" x14ac:dyDescent="0.25">
      <c r="A1391" s="13">
        <v>13749</v>
      </c>
      <c r="B1391" s="14">
        <v>43431.388275462959</v>
      </c>
      <c r="C1391" s="13" t="s">
        <v>10</v>
      </c>
      <c r="D1391" s="13" t="str">
        <f>"MATERIALE PROTESICO"</f>
        <v>MATERIALE PROTESICO</v>
      </c>
      <c r="E1391" s="13" t="str">
        <f>"PERMEDICA SPA"</f>
        <v>PERMEDICA SPA</v>
      </c>
      <c r="F1391" s="13" t="s">
        <v>14</v>
      </c>
      <c r="G1391" s="15">
        <v>540</v>
      </c>
    </row>
    <row r="1392" spans="1:7" ht="22.5" x14ac:dyDescent="0.25">
      <c r="A1392" s="13">
        <v>13750</v>
      </c>
      <c r="B1392" s="14">
        <v>43431.388275462959</v>
      </c>
      <c r="C1392" s="13" t="s">
        <v>10</v>
      </c>
      <c r="D1392" s="13" t="str">
        <f>"MATERIALE PROTESICO"</f>
        <v>MATERIALE PROTESICO</v>
      </c>
      <c r="E1392" s="13" t="str">
        <f>"PERMEDICA SPA"</f>
        <v>PERMEDICA SPA</v>
      </c>
      <c r="F1392" s="13" t="s">
        <v>14</v>
      </c>
      <c r="G1392" s="15">
        <v>260</v>
      </c>
    </row>
    <row r="1393" spans="1:7" ht="22.5" x14ac:dyDescent="0.25">
      <c r="A1393" s="13">
        <v>13751</v>
      </c>
      <c r="B1393" s="14">
        <v>43431.388275462959</v>
      </c>
      <c r="C1393" s="13" t="s">
        <v>10</v>
      </c>
      <c r="D1393" s="13" t="str">
        <f>"MATERIALE PROTESICO"</f>
        <v>MATERIALE PROTESICO</v>
      </c>
      <c r="E1393" s="13" t="str">
        <f>"PERMEDICA SPA"</f>
        <v>PERMEDICA SPA</v>
      </c>
      <c r="F1393" s="13" t="s">
        <v>14</v>
      </c>
      <c r="G1393" s="15">
        <v>380</v>
      </c>
    </row>
    <row r="1394" spans="1:7" ht="33.75" x14ac:dyDescent="0.25">
      <c r="A1394" s="13">
        <v>13752</v>
      </c>
      <c r="B1394" s="14">
        <v>43431.388275462959</v>
      </c>
      <c r="C1394" s="13" t="s">
        <v>10</v>
      </c>
      <c r="D1394" s="13" t="str">
        <f>"PRESIDI MEDICO-CHIRURGICI GENERICI E AUSILI TECNICI PER DISABILI M"</f>
        <v>PRESIDI MEDICO-CHIRURGICI GENERICI E AUSILI TECNICI PER DISABILI M</v>
      </c>
      <c r="E1394" s="13" t="str">
        <f>"PIKDARE SRL"</f>
        <v>PIKDARE SRL</v>
      </c>
      <c r="F1394" s="13" t="s">
        <v>14</v>
      </c>
      <c r="G1394" s="15">
        <v>414</v>
      </c>
    </row>
    <row r="1395" spans="1:7" ht="33.75" x14ac:dyDescent="0.25">
      <c r="A1395" s="13">
        <v>13753</v>
      </c>
      <c r="B1395" s="14">
        <v>43431.388275462959</v>
      </c>
      <c r="C1395" s="13" t="s">
        <v>10</v>
      </c>
      <c r="D1395" s="13" t="str">
        <f>"PRESIDI MEDICO-CHIRURGICI GENERICI E AUSILI TECNICI PER DISABILI M"</f>
        <v>PRESIDI MEDICO-CHIRURGICI GENERICI E AUSILI TECNICI PER DISABILI M</v>
      </c>
      <c r="E1395" s="13" t="str">
        <f>"PIKDARE SRL"</f>
        <v>PIKDARE SRL</v>
      </c>
      <c r="F1395" s="13" t="s">
        <v>14</v>
      </c>
      <c r="G1395" s="15">
        <v>276</v>
      </c>
    </row>
    <row r="1396" spans="1:7" ht="22.5" x14ac:dyDescent="0.25">
      <c r="A1396" s="13">
        <v>13754</v>
      </c>
      <c r="B1396" s="14">
        <v>43431.388275462959</v>
      </c>
      <c r="C1396" s="13" t="s">
        <v>10</v>
      </c>
      <c r="D1396" s="13" t="str">
        <f>"PRODOTTI CHIMICI: MATERIALI DIAGNOSTICI (SENZA CND)"</f>
        <v>PRODOTTI CHIMICI: MATERIALI DIAGNOSTICI (SENZA CND)</v>
      </c>
      <c r="E1396" s="13" t="str">
        <f>"PHSE SRL"</f>
        <v>PHSE SRL</v>
      </c>
      <c r="F1396" s="13" t="s">
        <v>14</v>
      </c>
      <c r="G1396" s="15">
        <v>260</v>
      </c>
    </row>
    <row r="1397" spans="1:7" ht="22.5" x14ac:dyDescent="0.25">
      <c r="A1397" s="13">
        <v>13755</v>
      </c>
      <c r="B1397" s="14">
        <v>43431.388275462959</v>
      </c>
      <c r="C1397" s="13" t="s">
        <v>10</v>
      </c>
      <c r="D1397" s="13" t="str">
        <f>"PRODOTTI FARMACEUTICI CON AIC"</f>
        <v>PRODOTTI FARMACEUTICI CON AIC</v>
      </c>
      <c r="E1397" s="13" t="str">
        <f>"PIAM FARMACEUTICI SPA"</f>
        <v>PIAM FARMACEUTICI SPA</v>
      </c>
      <c r="F1397" s="13" t="s">
        <v>14</v>
      </c>
      <c r="G1397" s="15">
        <v>180</v>
      </c>
    </row>
    <row r="1398" spans="1:7" ht="33.75" x14ac:dyDescent="0.25">
      <c r="A1398" s="13">
        <v>13756</v>
      </c>
      <c r="B1398" s="14">
        <v>43431.388287037036</v>
      </c>
      <c r="C1398" s="13" t="s">
        <v>10</v>
      </c>
      <c r="D1398" s="13" t="str">
        <f>"DISPOSITIVI DI SOMMINISTRAZIONE, PRELIEVO E RACCOLTA (CIN A)"</f>
        <v>DISPOSITIVI DI SOMMINISTRAZIONE, PRELIEVO E RACCOLTA (CIN A)</v>
      </c>
      <c r="E1398" s="13" t="str">
        <f>"RAYS SPA"</f>
        <v>RAYS SPA</v>
      </c>
      <c r="F1398" s="13" t="s">
        <v>14</v>
      </c>
      <c r="G1398" s="15">
        <v>302.39999999999998</v>
      </c>
    </row>
    <row r="1399" spans="1:7" ht="33.75" x14ac:dyDescent="0.25">
      <c r="A1399" s="13">
        <v>13757</v>
      </c>
      <c r="B1399" s="14">
        <v>43431.388287037036</v>
      </c>
      <c r="C1399" s="13" t="s">
        <v>10</v>
      </c>
      <c r="D1399" s="13" t="str">
        <f>"DISPOSITIVI DI SOMMINISTRAZIONE, PRELIEVO E RACCOLTA (CIN A)"</f>
        <v>DISPOSITIVI DI SOMMINISTRAZIONE, PRELIEVO E RACCOLTA (CIN A)</v>
      </c>
      <c r="E1399" s="13" t="str">
        <f>"RAYS SPA"</f>
        <v>RAYS SPA</v>
      </c>
      <c r="F1399" s="13" t="s">
        <v>14</v>
      </c>
      <c r="G1399" s="15">
        <v>3180</v>
      </c>
    </row>
    <row r="1400" spans="1:7" ht="22.5" x14ac:dyDescent="0.25">
      <c r="A1400" s="13">
        <v>13758</v>
      </c>
      <c r="B1400" s="14">
        <v>43431.388287037036</v>
      </c>
      <c r="C1400" s="13" t="s">
        <v>10</v>
      </c>
      <c r="D1400" s="13" t="str">
        <f>"FARMACI FILE F"</f>
        <v>FARMACI FILE F</v>
      </c>
      <c r="E1400" s="13" t="str">
        <f>"ROCHE SPA Societa Unipersonale"</f>
        <v>ROCHE SPA Societa Unipersonale</v>
      </c>
      <c r="F1400" s="13" t="s">
        <v>14</v>
      </c>
      <c r="G1400" s="15">
        <v>24688.81</v>
      </c>
    </row>
    <row r="1401" spans="1:7" ht="22.5" x14ac:dyDescent="0.25">
      <c r="A1401" s="13">
        <v>13759</v>
      </c>
      <c r="B1401" s="14">
        <v>43431.388287037036</v>
      </c>
      <c r="C1401" s="13" t="s">
        <v>10</v>
      </c>
      <c r="D1401" s="13" t="str">
        <f>"FARMACI FILE F"</f>
        <v>FARMACI FILE F</v>
      </c>
      <c r="E1401" s="13" t="str">
        <f>"ROCHE SPA Societa Unipersonale"</f>
        <v>ROCHE SPA Societa Unipersonale</v>
      </c>
      <c r="F1401" s="13" t="s">
        <v>14</v>
      </c>
      <c r="G1401" s="15">
        <v>14391.36</v>
      </c>
    </row>
    <row r="1402" spans="1:7" ht="22.5" x14ac:dyDescent="0.25">
      <c r="A1402" s="13">
        <v>13760</v>
      </c>
      <c r="B1402" s="14">
        <v>43431.388287037036</v>
      </c>
      <c r="C1402" s="13" t="s">
        <v>10</v>
      </c>
      <c r="D1402" s="13" t="str">
        <f>"FARMACI FILE F"</f>
        <v>FARMACI FILE F</v>
      </c>
      <c r="E1402" s="13" t="str">
        <f>"ROCHE SPA Societa Unipersonale"</f>
        <v>ROCHE SPA Societa Unipersonale</v>
      </c>
      <c r="F1402" s="13" t="s">
        <v>14</v>
      </c>
      <c r="G1402" s="15">
        <v>12792.32</v>
      </c>
    </row>
    <row r="1403" spans="1:7" ht="22.5" x14ac:dyDescent="0.25">
      <c r="A1403" s="13">
        <v>13761</v>
      </c>
      <c r="B1403" s="14">
        <v>43431.388287037036</v>
      </c>
      <c r="C1403" s="13" t="s">
        <v>10</v>
      </c>
      <c r="D1403" s="13" t="str">
        <f>"MATERIALE DIAGNOSTICO (W)"</f>
        <v>MATERIALE DIAGNOSTICO (W)</v>
      </c>
      <c r="E1403" s="13" t="str">
        <f>"ROCHE DIAGNOSTICS SPA Societa Unipersonale"</f>
        <v>ROCHE DIAGNOSTICS SPA Societa Unipersonale</v>
      </c>
      <c r="F1403" s="13" t="s">
        <v>14</v>
      </c>
      <c r="G1403" s="15">
        <v>921.6</v>
      </c>
    </row>
    <row r="1404" spans="1:7" ht="22.5" x14ac:dyDescent="0.25">
      <c r="A1404" s="13">
        <v>13762</v>
      </c>
      <c r="B1404" s="14">
        <v>43431.388287037036</v>
      </c>
      <c r="C1404" s="13" t="s">
        <v>10</v>
      </c>
      <c r="D1404" s="13" t="str">
        <f>"MATERIALE DIAGNOSTICO (W)"</f>
        <v>MATERIALE DIAGNOSTICO (W)</v>
      </c>
      <c r="E1404" s="13" t="str">
        <f>"ROCHE DIAGNOSTICS SPA Societa Unipersonale"</f>
        <v>ROCHE DIAGNOSTICS SPA Societa Unipersonale</v>
      </c>
      <c r="F1404" s="13" t="s">
        <v>14</v>
      </c>
      <c r="G1404" s="15">
        <v>1846.59</v>
      </c>
    </row>
    <row r="1405" spans="1:7" ht="22.5" x14ac:dyDescent="0.25">
      <c r="A1405" s="13">
        <v>13763</v>
      </c>
      <c r="B1405" s="14">
        <v>43431.388287037036</v>
      </c>
      <c r="C1405" s="13" t="s">
        <v>10</v>
      </c>
      <c r="D1405" s="13" t="str">
        <f>"MATERIALE DIAGNOSTICO (W)"</f>
        <v>MATERIALE DIAGNOSTICO (W)</v>
      </c>
      <c r="E1405" s="13" t="str">
        <f>"ROCHE DIAGNOSTICS SPA Societa Unipersonale"</f>
        <v>ROCHE DIAGNOSTICS SPA Societa Unipersonale</v>
      </c>
      <c r="F1405" s="13" t="s">
        <v>14</v>
      </c>
      <c r="G1405" s="15">
        <v>2369.7399999999998</v>
      </c>
    </row>
    <row r="1406" spans="1:7" ht="22.5" x14ac:dyDescent="0.25">
      <c r="A1406" s="13">
        <v>13764</v>
      </c>
      <c r="B1406" s="14">
        <v>43431.388287037036</v>
      </c>
      <c r="C1406" s="13" t="s">
        <v>10</v>
      </c>
      <c r="D1406" s="13" t="str">
        <f>"MATERIALE DIAGNOSTICO (W)"</f>
        <v>MATERIALE DIAGNOSTICO (W)</v>
      </c>
      <c r="E1406" s="13" t="str">
        <f>"ROCHE DIAGNOSTICS SPA Societa Unipersonale"</f>
        <v>ROCHE DIAGNOSTICS SPA Societa Unipersonale</v>
      </c>
      <c r="F1406" s="13" t="s">
        <v>14</v>
      </c>
      <c r="G1406" s="15">
        <v>2397.9</v>
      </c>
    </row>
    <row r="1407" spans="1:7" ht="22.5" x14ac:dyDescent="0.25">
      <c r="A1407" s="13">
        <v>13765</v>
      </c>
      <c r="B1407" s="14">
        <v>43431.388287037036</v>
      </c>
      <c r="C1407" s="13" t="s">
        <v>10</v>
      </c>
      <c r="D1407" s="13" t="str">
        <f>"MATERIALE DIAGNOSTICO (W)"</f>
        <v>MATERIALE DIAGNOSTICO (W)</v>
      </c>
      <c r="E1407" s="13" t="str">
        <f>"ROCHE DIAGNOSTICS SPA Societa Unipersonale"</f>
        <v>ROCHE DIAGNOSTICS SPA Societa Unipersonale</v>
      </c>
      <c r="F1407" s="13" t="s">
        <v>14</v>
      </c>
      <c r="G1407" s="15">
        <v>29</v>
      </c>
    </row>
    <row r="1408" spans="1:7" ht="22.5" x14ac:dyDescent="0.25">
      <c r="A1408" s="13">
        <v>13766</v>
      </c>
      <c r="B1408" s="14">
        <v>43431.388287037036</v>
      </c>
      <c r="C1408" s="13" t="s">
        <v>10</v>
      </c>
      <c r="D1408" s="13" t="str">
        <f>"PRODOTTI FARMACEUTICI CON AIC"</f>
        <v>PRODOTTI FARMACEUTICI CON AIC</v>
      </c>
      <c r="E1408" s="13" t="str">
        <f>"PHARMATEX ITALIA SRL a Socio Unico"</f>
        <v>PHARMATEX ITALIA SRL a Socio Unico</v>
      </c>
      <c r="F1408" s="13" t="s">
        <v>14</v>
      </c>
      <c r="G1408" s="15">
        <v>622.44000000000005</v>
      </c>
    </row>
    <row r="1409" spans="1:7" ht="22.5" x14ac:dyDescent="0.25">
      <c r="A1409" s="13">
        <v>13767</v>
      </c>
      <c r="B1409" s="14">
        <v>43431.388287037036</v>
      </c>
      <c r="C1409" s="13" t="s">
        <v>10</v>
      </c>
      <c r="D1409" s="13" t="str">
        <f>"PRODOTTI FARMACEUTICI CON AIC"</f>
        <v>PRODOTTI FARMACEUTICI CON AIC</v>
      </c>
      <c r="E1409" s="13" t="str">
        <f>"PHARMATEX ITALIA SRL a Socio Unico"</f>
        <v>PHARMATEX ITALIA SRL a Socio Unico</v>
      </c>
      <c r="F1409" s="13" t="s">
        <v>14</v>
      </c>
      <c r="G1409" s="15">
        <v>516</v>
      </c>
    </row>
    <row r="1410" spans="1:7" ht="22.5" x14ac:dyDescent="0.25">
      <c r="A1410" s="13">
        <v>13768</v>
      </c>
      <c r="B1410" s="14">
        <v>43431.388287037036</v>
      </c>
      <c r="C1410" s="13" t="s">
        <v>10</v>
      </c>
      <c r="D1410" s="13" t="str">
        <f>"PRODOTTI FARMACEUTICI CON AIC"</f>
        <v>PRODOTTI FARMACEUTICI CON AIC</v>
      </c>
      <c r="E1410" s="13" t="str">
        <f>"PHARMATEX ITALIA SRL a Socio Unico"</f>
        <v>PHARMATEX ITALIA SRL a Socio Unico</v>
      </c>
      <c r="F1410" s="13" t="s">
        <v>14</v>
      </c>
      <c r="G1410" s="15">
        <v>709</v>
      </c>
    </row>
    <row r="1411" spans="1:7" ht="22.5" x14ac:dyDescent="0.25">
      <c r="A1411" s="13">
        <v>13769</v>
      </c>
      <c r="B1411" s="14">
        <v>43431.388287037036</v>
      </c>
      <c r="C1411" s="13" t="s">
        <v>10</v>
      </c>
      <c r="D1411" s="13" t="str">
        <f>"PRODOTTI FARMACEUTICI CON AIC"</f>
        <v>PRODOTTI FARMACEUTICI CON AIC</v>
      </c>
      <c r="E1411" s="13" t="str">
        <f>"ROCHE SPA Societa Unipersonale"</f>
        <v>ROCHE SPA Societa Unipersonale</v>
      </c>
      <c r="F1411" s="13" t="s">
        <v>14</v>
      </c>
      <c r="G1411" s="15">
        <v>34360.07</v>
      </c>
    </row>
    <row r="1412" spans="1:7" ht="22.5" x14ac:dyDescent="0.25">
      <c r="A1412" s="13">
        <v>13770</v>
      </c>
      <c r="B1412" s="14">
        <v>43431.388287037036</v>
      </c>
      <c r="C1412" s="13" t="s">
        <v>10</v>
      </c>
      <c r="D1412" s="13" t="str">
        <f>"SERVIZIO CUCINA GORLA"</f>
        <v>SERVIZIO CUCINA GORLA</v>
      </c>
      <c r="E1412" s="13" t="str">
        <f>"SERIST SRL"</f>
        <v>SERIST SRL</v>
      </c>
      <c r="F1412" s="13" t="s">
        <v>29</v>
      </c>
      <c r="G1412" s="15">
        <v>22459.48</v>
      </c>
    </row>
    <row r="1413" spans="1:7" ht="22.5" x14ac:dyDescent="0.25">
      <c r="A1413" s="13">
        <v>13771</v>
      </c>
      <c r="B1413" s="14">
        <v>43431.388287037036</v>
      </c>
      <c r="C1413" s="13" t="s">
        <v>10</v>
      </c>
      <c r="D1413" s="13" t="str">
        <f>"SERVIZIO CUCINA GORLA"</f>
        <v>SERVIZIO CUCINA GORLA</v>
      </c>
      <c r="E1413" s="13" t="str">
        <f>"SERIST SRL"</f>
        <v>SERIST SRL</v>
      </c>
      <c r="F1413" s="13" t="s">
        <v>29</v>
      </c>
      <c r="G1413" s="15">
        <v>185.31</v>
      </c>
    </row>
    <row r="1414" spans="1:7" ht="22.5" x14ac:dyDescent="0.25">
      <c r="A1414" s="13">
        <v>13772</v>
      </c>
      <c r="B1414" s="14">
        <v>43431.388298611113</v>
      </c>
      <c r="C1414" s="13" t="s">
        <v>10</v>
      </c>
      <c r="D1414" s="13" t="str">
        <f>"MATERIALE DIAGNOSTICO (W)"</f>
        <v>MATERIALE DIAGNOSTICO (W)</v>
      </c>
      <c r="E1414" s="13" t="str">
        <f>"A. MENARINI DIAGNOSTICS SRL a Socio Unico"</f>
        <v>A. MENARINI DIAGNOSTICS SRL a Socio Unico</v>
      </c>
      <c r="F1414" s="13" t="s">
        <v>14</v>
      </c>
      <c r="G1414" s="15">
        <v>733.2</v>
      </c>
    </row>
    <row r="1415" spans="1:7" ht="22.5" x14ac:dyDescent="0.25">
      <c r="A1415" s="13">
        <v>13773</v>
      </c>
      <c r="B1415" s="14">
        <v>43431.388298611113</v>
      </c>
      <c r="C1415" s="13" t="s">
        <v>10</v>
      </c>
      <c r="D1415" s="13" t="str">
        <f>"MATERIALE DIAGNOSTICO (W)"</f>
        <v>MATERIALE DIAGNOSTICO (W)</v>
      </c>
      <c r="E1415" s="13" t="str">
        <f>"ABBOTT SRL a Socio Unico"</f>
        <v>ABBOTT SRL a Socio Unico</v>
      </c>
      <c r="F1415" s="13" t="s">
        <v>14</v>
      </c>
      <c r="G1415" s="15">
        <v>1100</v>
      </c>
    </row>
    <row r="1416" spans="1:7" ht="22.5" x14ac:dyDescent="0.25">
      <c r="A1416" s="13">
        <v>13774</v>
      </c>
      <c r="B1416" s="14">
        <v>43431.388298611113</v>
      </c>
      <c r="C1416" s="13" t="s">
        <v>10</v>
      </c>
      <c r="D1416" s="13" t="str">
        <f>"MATERIALE DIAGNOSTICO (W)"</f>
        <v>MATERIALE DIAGNOSTICO (W)</v>
      </c>
      <c r="E1416" s="13" t="str">
        <f>"AGILENT TECHNOLOGIES ITALIA SPA"</f>
        <v>AGILENT TECHNOLOGIES ITALIA SPA</v>
      </c>
      <c r="F1416" s="13" t="s">
        <v>14</v>
      </c>
      <c r="G1416" s="15">
        <v>124.3</v>
      </c>
    </row>
    <row r="1417" spans="1:7" ht="22.5" x14ac:dyDescent="0.25">
      <c r="A1417" s="13">
        <v>13775</v>
      </c>
      <c r="B1417" s="14">
        <v>43431.388298611113</v>
      </c>
      <c r="C1417" s="13" t="s">
        <v>10</v>
      </c>
      <c r="D1417" s="13" t="str">
        <f>"MATERIALI DI GUARDAROBA E CONVIVENZA"</f>
        <v>MATERIALI DI GUARDAROBA E CONVIVENZA</v>
      </c>
      <c r="E1417" s="13" t="str">
        <f>"3 M. C. SPA"</f>
        <v>3 M. C. SPA</v>
      </c>
      <c r="F1417" s="13" t="s">
        <v>35</v>
      </c>
      <c r="G1417" s="15">
        <v>631.20000000000005</v>
      </c>
    </row>
    <row r="1418" spans="1:7" ht="22.5" x14ac:dyDescent="0.25">
      <c r="A1418" s="13">
        <v>13776</v>
      </c>
      <c r="B1418" s="14">
        <v>43431.388298611113</v>
      </c>
      <c r="C1418" s="13" t="s">
        <v>10</v>
      </c>
      <c r="D1418" s="13" t="str">
        <f>"PRODOTTI FARMACEUTICI CON AIC"</f>
        <v>PRODOTTI FARMACEUTICI CON AIC</v>
      </c>
      <c r="E1418" s="13" t="str">
        <f>"ACCORD HEALTHCARE ITALIA SRL"</f>
        <v>ACCORD HEALTHCARE ITALIA SRL</v>
      </c>
      <c r="F1418" s="13" t="s">
        <v>14</v>
      </c>
      <c r="G1418" s="15">
        <v>676.15</v>
      </c>
    </row>
    <row r="1419" spans="1:7" ht="22.5" x14ac:dyDescent="0.25">
      <c r="A1419" s="13">
        <v>13777</v>
      </c>
      <c r="B1419" s="14">
        <v>43431.388298611113</v>
      </c>
      <c r="C1419" s="13" t="s">
        <v>10</v>
      </c>
      <c r="D1419" s="13" t="str">
        <f>"PRODOTTI FARMACEUTICI CON AIC"</f>
        <v>PRODOTTI FARMACEUTICI CON AIC</v>
      </c>
      <c r="E1419" s="13" t="str">
        <f>"ACCORD HEALTHCARE ITALIA SRL"</f>
        <v>ACCORD HEALTHCARE ITALIA SRL</v>
      </c>
      <c r="F1419" s="13" t="s">
        <v>14</v>
      </c>
      <c r="G1419" s="15">
        <v>30.3</v>
      </c>
    </row>
    <row r="1420" spans="1:7" ht="22.5" x14ac:dyDescent="0.25">
      <c r="A1420" s="13">
        <v>13778</v>
      </c>
      <c r="B1420" s="14">
        <v>43431.388298611113</v>
      </c>
      <c r="C1420" s="13" t="s">
        <v>10</v>
      </c>
      <c r="D1420" s="13" t="str">
        <f>"PRODOTTI FARMACEUTICI CON AIC"</f>
        <v>PRODOTTI FARMACEUTICI CON AIC</v>
      </c>
      <c r="E1420" s="13" t="str">
        <f>"ALLOGA (ITALIA) SRL"</f>
        <v>ALLOGA (ITALIA) SRL</v>
      </c>
      <c r="F1420" s="13" t="s">
        <v>14</v>
      </c>
      <c r="G1420" s="15">
        <v>900</v>
      </c>
    </row>
    <row r="1421" spans="1:7" ht="22.5" x14ac:dyDescent="0.25">
      <c r="A1421" s="13">
        <v>13779</v>
      </c>
      <c r="B1421" s="14">
        <v>43431.597662037035</v>
      </c>
      <c r="C1421" s="13" t="s">
        <v>10</v>
      </c>
      <c r="D1421" s="13" t="str">
        <f>"FARMACI FILE F"</f>
        <v>FARMACI FILE F</v>
      </c>
      <c r="E1421" s="13" t="str">
        <f>"ACTELION PHARMACEUTICALS ITALIA SRL  Societa Unipersonale"</f>
        <v>ACTELION PHARMACEUTICALS ITALIA SRL  Societa Unipersonale</v>
      </c>
      <c r="F1421" s="13" t="s">
        <v>14</v>
      </c>
      <c r="G1421" s="15">
        <v>2559.2800000000002</v>
      </c>
    </row>
    <row r="1422" spans="1:7" ht="22.5" x14ac:dyDescent="0.25">
      <c r="A1422" s="13">
        <v>13780</v>
      </c>
      <c r="B1422" s="14">
        <v>43431.597662037035</v>
      </c>
      <c r="C1422" s="13" t="s">
        <v>10</v>
      </c>
      <c r="D1422" s="13" t="str">
        <f>"FARMACI FILE F"</f>
        <v>FARMACI FILE F</v>
      </c>
      <c r="E1422" s="13" t="str">
        <f>"ACTELION PHARMACEUTICALS ITALIA SRL  Societa Unipersonale"</f>
        <v>ACTELION PHARMACEUTICALS ITALIA SRL  Societa Unipersonale</v>
      </c>
      <c r="F1422" s="13" t="s">
        <v>14</v>
      </c>
      <c r="G1422" s="15">
        <v>3199.1</v>
      </c>
    </row>
    <row r="1423" spans="1:7" ht="22.5" x14ac:dyDescent="0.25">
      <c r="A1423" s="13">
        <v>13781</v>
      </c>
      <c r="B1423" s="14">
        <v>43431.597662037035</v>
      </c>
      <c r="C1423" s="13" t="s">
        <v>10</v>
      </c>
      <c r="D1423" s="13" t="str">
        <f>"FARMACI FILE F"</f>
        <v>FARMACI FILE F</v>
      </c>
      <c r="E1423" s="13" t="str">
        <f>"ACTELION PHARMACEUTICALS ITALIA SRL  Societa Unipersonale"</f>
        <v>ACTELION PHARMACEUTICALS ITALIA SRL  Societa Unipersonale</v>
      </c>
      <c r="F1423" s="13" t="s">
        <v>14</v>
      </c>
      <c r="G1423" s="15">
        <v>4784.04</v>
      </c>
    </row>
    <row r="1424" spans="1:7" ht="22.5" x14ac:dyDescent="0.25">
      <c r="A1424" s="13">
        <v>13782</v>
      </c>
      <c r="B1424" s="14">
        <v>43431.597662037035</v>
      </c>
      <c r="C1424" s="13" t="s">
        <v>10</v>
      </c>
      <c r="D1424" s="13" t="str">
        <f>"FARMACI FILE F"</f>
        <v>FARMACI FILE F</v>
      </c>
      <c r="E1424" s="13" t="str">
        <f>"ACTELION PHARMACEUTICALS ITALIA SRL  Societa Unipersonale"</f>
        <v>ACTELION PHARMACEUTICALS ITALIA SRL  Societa Unipersonale</v>
      </c>
      <c r="F1424" s="13" t="s">
        <v>14</v>
      </c>
      <c r="G1424" s="15">
        <v>4784.04</v>
      </c>
    </row>
    <row r="1425" spans="1:7" ht="22.5" x14ac:dyDescent="0.25">
      <c r="A1425" s="13">
        <v>13783</v>
      </c>
      <c r="B1425" s="14">
        <v>43431.597662037035</v>
      </c>
      <c r="C1425" s="13" t="s">
        <v>10</v>
      </c>
      <c r="D1425" s="13" t="str">
        <f>"PRESIDI MEDICO-CHIRURGICI SPECIALISTICI R"</f>
        <v>PRESIDI MEDICO-CHIRURGICI SPECIALISTICI R</v>
      </c>
      <c r="E1425" s="13" t="str">
        <f>"AMBU SRL"</f>
        <v>AMBU SRL</v>
      </c>
      <c r="F1425" s="13" t="s">
        <v>14</v>
      </c>
      <c r="G1425" s="15">
        <v>2925</v>
      </c>
    </row>
    <row r="1426" spans="1:7" ht="22.5" x14ac:dyDescent="0.25">
      <c r="A1426" s="13">
        <v>13784</v>
      </c>
      <c r="B1426" s="14">
        <v>43431.597673611112</v>
      </c>
      <c r="C1426" s="13" t="s">
        <v>10</v>
      </c>
      <c r="D1426" s="13" t="str">
        <f>"ALTRO MATERIALE SANITARIO (SENZA CND)"</f>
        <v>ALTRO MATERIALE SANITARIO (SENZA CND)</v>
      </c>
      <c r="E1426" s="13" t="str">
        <f>"BAYER SPA Societa Unipersonale"</f>
        <v>BAYER SPA Societa Unipersonale</v>
      </c>
      <c r="F1426" s="13" t="s">
        <v>16</v>
      </c>
      <c r="G1426" s="15">
        <v>2386</v>
      </c>
    </row>
    <row r="1427" spans="1:7" ht="22.5" x14ac:dyDescent="0.25">
      <c r="A1427" s="13">
        <v>13785</v>
      </c>
      <c r="B1427" s="14">
        <v>43431.597673611112</v>
      </c>
      <c r="C1427" s="13" t="s">
        <v>10</v>
      </c>
      <c r="D1427" s="13" t="str">
        <f>"MATERIALE DIAGNOSTICO (W)"</f>
        <v>MATERIALE DIAGNOSTICO (W)</v>
      </c>
      <c r="E1427" s="13" t="str">
        <f>"BECTON DICKINSON ITALIA SPA a Socio Unico"</f>
        <v>BECTON DICKINSON ITALIA SPA a Socio Unico</v>
      </c>
      <c r="F1427" s="13" t="s">
        <v>14</v>
      </c>
      <c r="G1427" s="15">
        <v>298</v>
      </c>
    </row>
    <row r="1428" spans="1:7" ht="22.5" x14ac:dyDescent="0.25">
      <c r="A1428" s="13">
        <v>13786</v>
      </c>
      <c r="B1428" s="14">
        <v>43431.597673611112</v>
      </c>
      <c r="C1428" s="13" t="s">
        <v>10</v>
      </c>
      <c r="D1428" s="13" t="str">
        <f>"MATERIALE DIAGNOSTICO (W)"</f>
        <v>MATERIALE DIAGNOSTICO (W)</v>
      </c>
      <c r="E1428" s="13" t="str">
        <f>"BIO - RAD LABORATORIES SRL"</f>
        <v>BIO - RAD LABORATORIES SRL</v>
      </c>
      <c r="F1428" s="13" t="s">
        <v>14</v>
      </c>
      <c r="G1428" s="15">
        <v>1233.83</v>
      </c>
    </row>
    <row r="1429" spans="1:7" ht="22.5" x14ac:dyDescent="0.25">
      <c r="A1429" s="13">
        <v>13787</v>
      </c>
      <c r="B1429" s="14">
        <v>43431.597673611112</v>
      </c>
      <c r="C1429" s="13" t="s">
        <v>10</v>
      </c>
      <c r="D1429" s="13" t="str">
        <f>"MATERIALE DIAGNOSTICO (W)"</f>
        <v>MATERIALE DIAGNOSTICO (W)</v>
      </c>
      <c r="E1429" s="13" t="str">
        <f>"BIO - RAD LABORATORIES SRL"</f>
        <v>BIO - RAD LABORATORIES SRL</v>
      </c>
      <c r="F1429" s="13" t="s">
        <v>14</v>
      </c>
      <c r="G1429" s="15">
        <v>892.8</v>
      </c>
    </row>
    <row r="1430" spans="1:7" ht="22.5" x14ac:dyDescent="0.25">
      <c r="A1430" s="13">
        <v>13788</v>
      </c>
      <c r="B1430" s="14">
        <v>43431.597673611112</v>
      </c>
      <c r="C1430" s="13" t="s">
        <v>10</v>
      </c>
      <c r="D1430" s="13" t="str">
        <f>"MATERIALE PROTESICO"</f>
        <v>MATERIALE PROTESICO</v>
      </c>
      <c r="E1430" s="13" t="str">
        <f>"BIOTIM SRL"</f>
        <v>BIOTIM SRL</v>
      </c>
      <c r="F1430" s="13" t="s">
        <v>14</v>
      </c>
      <c r="G1430" s="15">
        <v>266.39999999999998</v>
      </c>
    </row>
    <row r="1431" spans="1:7" ht="22.5" x14ac:dyDescent="0.25">
      <c r="A1431" s="13">
        <v>13789</v>
      </c>
      <c r="B1431" s="14">
        <v>43431.597673611112</v>
      </c>
      <c r="C1431" s="13" t="s">
        <v>10</v>
      </c>
      <c r="D1431" s="13" t="str">
        <f>"MATERIALE PROTESICO"</f>
        <v>MATERIALE PROTESICO</v>
      </c>
      <c r="E1431" s="13" t="str">
        <f>"BIOTIM SRL"</f>
        <v>BIOTIM SRL</v>
      </c>
      <c r="F1431" s="13" t="s">
        <v>14</v>
      </c>
      <c r="G1431" s="15">
        <v>532.79999999999995</v>
      </c>
    </row>
    <row r="1432" spans="1:7" ht="22.5" x14ac:dyDescent="0.25">
      <c r="A1432" s="13">
        <v>13790</v>
      </c>
      <c r="B1432" s="14">
        <v>43431.597673611112</v>
      </c>
      <c r="C1432" s="13" t="s">
        <v>10</v>
      </c>
      <c r="D1432" s="13" t="str">
        <f>"MATERIALE PROTESICO"</f>
        <v>MATERIALE PROTESICO</v>
      </c>
      <c r="E1432" s="13" t="str">
        <f>"BIOTIM SRL"</f>
        <v>BIOTIM SRL</v>
      </c>
      <c r="F1432" s="13" t="s">
        <v>14</v>
      </c>
      <c r="G1432" s="15">
        <v>266.39999999999998</v>
      </c>
    </row>
    <row r="1433" spans="1:7" ht="22.5" x14ac:dyDescent="0.25">
      <c r="A1433" s="13">
        <v>13791</v>
      </c>
      <c r="B1433" s="14">
        <v>43431.597673611112</v>
      </c>
      <c r="C1433" s="13" t="s">
        <v>10</v>
      </c>
      <c r="D1433" s="13" t="str">
        <f>"MATERIALE PROTESICO"</f>
        <v>MATERIALE PROTESICO</v>
      </c>
      <c r="E1433" s="13" t="str">
        <f>"BIOTIM SRL"</f>
        <v>BIOTIM SRL</v>
      </c>
      <c r="F1433" s="13" t="s">
        <v>14</v>
      </c>
      <c r="G1433" s="15">
        <v>799.2</v>
      </c>
    </row>
    <row r="1434" spans="1:7" ht="22.5" x14ac:dyDescent="0.25">
      <c r="A1434" s="13">
        <v>13792</v>
      </c>
      <c r="B1434" s="14">
        <v>43431.597673611112</v>
      </c>
      <c r="C1434" s="13" t="s">
        <v>10</v>
      </c>
      <c r="D1434" s="13" t="str">
        <f>"MATERIALI DI GUARDAROBA E CONVIVENZA"</f>
        <v>MATERIALI DI GUARDAROBA E CONVIVENZA</v>
      </c>
      <c r="E1434" s="13" t="str">
        <f>"BANDIRALI SRL"</f>
        <v>BANDIRALI SRL</v>
      </c>
      <c r="F1434" s="13" t="s">
        <v>35</v>
      </c>
      <c r="G1434" s="15">
        <v>213.81</v>
      </c>
    </row>
    <row r="1435" spans="1:7" ht="33.75" x14ac:dyDescent="0.25">
      <c r="A1435" s="13">
        <v>13793</v>
      </c>
      <c r="B1435" s="14">
        <v>43431.597673611112</v>
      </c>
      <c r="C1435" s="13" t="s">
        <v>10</v>
      </c>
      <c r="D1435" s="13" t="str">
        <f>"PRESIDI MEDICO-CHIRURGICI GENERICI E AUSILI TECNICI PER DISABILI H"</f>
        <v>PRESIDI MEDICO-CHIRURGICI GENERICI E AUSILI TECNICI PER DISABILI H</v>
      </c>
      <c r="E1435" s="13" t="str">
        <f>"ASSUT EUROPE SPA"</f>
        <v>ASSUT EUROPE SPA</v>
      </c>
      <c r="F1435" s="13" t="s">
        <v>14</v>
      </c>
      <c r="G1435" s="15">
        <v>783</v>
      </c>
    </row>
    <row r="1436" spans="1:7" ht="33.75" x14ac:dyDescent="0.25">
      <c r="A1436" s="13">
        <v>13794</v>
      </c>
      <c r="B1436" s="14">
        <v>43431.597673611112</v>
      </c>
      <c r="C1436" s="13" t="s">
        <v>10</v>
      </c>
      <c r="D1436" s="13" t="str">
        <f>"PRESIDI MEDICO-CHIRURGICI GENERICI E AUSILI TECNICI PER DISABILI H"</f>
        <v>PRESIDI MEDICO-CHIRURGICI GENERICI E AUSILI TECNICI PER DISABILI H</v>
      </c>
      <c r="E1436" s="13" t="str">
        <f>"ASSUT EUROPE SPA"</f>
        <v>ASSUT EUROPE SPA</v>
      </c>
      <c r="F1436" s="13" t="s">
        <v>14</v>
      </c>
      <c r="G1436" s="15">
        <v>466.2</v>
      </c>
    </row>
    <row r="1437" spans="1:7" ht="22.5" x14ac:dyDescent="0.25">
      <c r="A1437" s="13">
        <v>13795</v>
      </c>
      <c r="B1437" s="14">
        <v>43431.597673611112</v>
      </c>
      <c r="C1437" s="13" t="s">
        <v>10</v>
      </c>
      <c r="D1437" s="13" t="str">
        <f>"PRODOTTI FARMACEUTICI CON AIC"</f>
        <v>PRODOTTI FARMACEUTICI CON AIC</v>
      </c>
      <c r="E1437" s="13" t="str">
        <f>"ASTRAZENECA SPA"</f>
        <v>ASTRAZENECA SPA</v>
      </c>
      <c r="F1437" s="13" t="s">
        <v>14</v>
      </c>
      <c r="G1437" s="15">
        <v>595.39</v>
      </c>
    </row>
    <row r="1438" spans="1:7" ht="22.5" x14ac:dyDescent="0.25">
      <c r="A1438" s="13">
        <v>13796</v>
      </c>
      <c r="B1438" s="14">
        <v>43431.597673611112</v>
      </c>
      <c r="C1438" s="13" t="s">
        <v>10</v>
      </c>
      <c r="D1438" s="13" t="str">
        <f>"PRODOTTI FARMACEUTICI CON AIC"</f>
        <v>PRODOTTI FARMACEUTICI CON AIC</v>
      </c>
      <c r="E1438" s="13" t="str">
        <f>"BAXTER SPA"</f>
        <v>BAXTER SPA</v>
      </c>
      <c r="F1438" s="13" t="s">
        <v>14</v>
      </c>
      <c r="G1438" s="15">
        <v>531</v>
      </c>
    </row>
    <row r="1439" spans="1:7" ht="22.5" x14ac:dyDescent="0.25">
      <c r="A1439" s="13">
        <v>13797</v>
      </c>
      <c r="B1439" s="14">
        <v>43431.597673611112</v>
      </c>
      <c r="C1439" s="13" t="s">
        <v>10</v>
      </c>
      <c r="D1439" s="13" t="str">
        <f>"PRODOTTI FARMACEUTICI CON AIC"</f>
        <v>PRODOTTI FARMACEUTICI CON AIC</v>
      </c>
      <c r="E1439" s="13" t="str">
        <f>"BAXTER SPA"</f>
        <v>BAXTER SPA</v>
      </c>
      <c r="F1439" s="13" t="s">
        <v>14</v>
      </c>
      <c r="G1439" s="15">
        <v>2289.21</v>
      </c>
    </row>
    <row r="1440" spans="1:7" ht="33.75" x14ac:dyDescent="0.25">
      <c r="A1440" s="13">
        <v>13798</v>
      </c>
      <c r="B1440" s="14">
        <v>43431.597685185188</v>
      </c>
      <c r="C1440" s="13" t="s">
        <v>10</v>
      </c>
      <c r="D1440" s="13" t="str">
        <f>"DISINFETTANTI, PRODOTTI PER STERILIZZAZIONE E DISPOSITIVI VARI V"</f>
        <v>DISINFETTANTI, PRODOTTI PER STERILIZZAZIONE E DISPOSITIVI VARI V</v>
      </c>
      <c r="E1440" s="13" t="str">
        <f>"BONESCHI &amp; C. SPA"</f>
        <v>BONESCHI &amp; C. SPA</v>
      </c>
      <c r="F1440" s="13" t="s">
        <v>14</v>
      </c>
      <c r="G1440" s="15">
        <v>5226</v>
      </c>
    </row>
    <row r="1441" spans="1:7" ht="33.75" x14ac:dyDescent="0.25">
      <c r="A1441" s="13">
        <v>13799</v>
      </c>
      <c r="B1441" s="14">
        <v>43431.597685185188</v>
      </c>
      <c r="C1441" s="13" t="s">
        <v>10</v>
      </c>
      <c r="D1441" s="13" t="str">
        <f>"DISINFETTANTI, PRODOTTI PER STERILIZZAZIONE E DISPOSITIVI VARI V"</f>
        <v>DISINFETTANTI, PRODOTTI PER STERILIZZAZIONE E DISPOSITIVI VARI V</v>
      </c>
      <c r="E1441" s="13" t="str">
        <f>"BONESCHI &amp; C. SPA"</f>
        <v>BONESCHI &amp; C. SPA</v>
      </c>
      <c r="F1441" s="13" t="s">
        <v>14</v>
      </c>
      <c r="G1441" s="15">
        <v>380</v>
      </c>
    </row>
    <row r="1442" spans="1:7" ht="33.75" x14ac:dyDescent="0.25">
      <c r="A1442" s="13">
        <v>13800</v>
      </c>
      <c r="B1442" s="14">
        <v>43431.597685185188</v>
      </c>
      <c r="C1442" s="13" t="s">
        <v>10</v>
      </c>
      <c r="D1442" s="13" t="str">
        <f>"DISINFETTANTI, PRODOTTI PER STERILIZZAZIONE E DISPOSITIVI VARI V"</f>
        <v>DISINFETTANTI, PRODOTTI PER STERILIZZAZIONE E DISPOSITIVI VARI V</v>
      </c>
      <c r="E1442" s="13" t="str">
        <f>"BONESCHI &amp; C. SPA"</f>
        <v>BONESCHI &amp; C. SPA</v>
      </c>
      <c r="F1442" s="13" t="s">
        <v>14</v>
      </c>
      <c r="G1442" s="15">
        <v>114</v>
      </c>
    </row>
    <row r="1443" spans="1:7" ht="33.75" x14ac:dyDescent="0.25">
      <c r="A1443" s="13">
        <v>13801</v>
      </c>
      <c r="B1443" s="14">
        <v>43431.597685185188</v>
      </c>
      <c r="C1443" s="13" t="s">
        <v>10</v>
      </c>
      <c r="D1443" s="13" t="str">
        <f>"DISINFETTANTI, PRODOTTI PER STERILIZZAZIONE E DISPOSITIVI VARI V"</f>
        <v>DISINFETTANTI, PRODOTTI PER STERILIZZAZIONE E DISPOSITIVI VARI V</v>
      </c>
      <c r="E1443" s="13" t="str">
        <f>"BONESCHI &amp; C. SPA"</f>
        <v>BONESCHI &amp; C. SPA</v>
      </c>
      <c r="F1443" s="13" t="s">
        <v>14</v>
      </c>
      <c r="G1443" s="15">
        <v>491.4</v>
      </c>
    </row>
    <row r="1444" spans="1:7" ht="33.75" x14ac:dyDescent="0.25">
      <c r="A1444" s="13">
        <v>13802</v>
      </c>
      <c r="B1444" s="14">
        <v>43431.597685185188</v>
      </c>
      <c r="C1444" s="13" t="s">
        <v>10</v>
      </c>
      <c r="D1444" s="13" t="str">
        <f>"DISINFETTANTI, PRODOTTI PER STERILIZZAZIONE E DISPOSITIVI VARI V"</f>
        <v>DISINFETTANTI, PRODOTTI PER STERILIZZAZIONE E DISPOSITIVI VARI V</v>
      </c>
      <c r="E1444" s="13" t="str">
        <f>"BONESCHI &amp; C. SPA"</f>
        <v>BONESCHI &amp; C. SPA</v>
      </c>
      <c r="F1444" s="13" t="s">
        <v>14</v>
      </c>
      <c r="G1444" s="15">
        <v>184.28</v>
      </c>
    </row>
    <row r="1445" spans="1:7" ht="22.5" x14ac:dyDescent="0.25">
      <c r="A1445" s="13">
        <v>13803</v>
      </c>
      <c r="B1445" s="14">
        <v>43431.597685185188</v>
      </c>
      <c r="C1445" s="13" t="s">
        <v>10</v>
      </c>
      <c r="D1445" s="13" t="str">
        <f>"FARMACI FILE F"</f>
        <v>FARMACI FILE F</v>
      </c>
      <c r="E1445" s="13" t="str">
        <f>"BRISTOL - MYERS SQUIBB SRL Societa Unipersonale"</f>
        <v>BRISTOL - MYERS SQUIBB SRL Societa Unipersonale</v>
      </c>
      <c r="F1445" s="13" t="s">
        <v>14</v>
      </c>
      <c r="G1445" s="15">
        <v>-2587.23</v>
      </c>
    </row>
    <row r="1446" spans="1:7" ht="22.5" x14ac:dyDescent="0.25">
      <c r="A1446" s="13">
        <v>13804</v>
      </c>
      <c r="B1446" s="14">
        <v>43431.597685185188</v>
      </c>
      <c r="C1446" s="13" t="s">
        <v>10</v>
      </c>
      <c r="D1446" s="13" t="str">
        <f>"FARMACI FILE F"</f>
        <v>FARMACI FILE F</v>
      </c>
      <c r="E1446" s="13" t="str">
        <f>"BRISTOL - MYERS SQUIBB SRL Societa Unipersonale"</f>
        <v>BRISTOL - MYERS SQUIBB SRL Societa Unipersonale</v>
      </c>
      <c r="F1446" s="13" t="s">
        <v>14</v>
      </c>
      <c r="G1446" s="15">
        <v>37185.120000000003</v>
      </c>
    </row>
    <row r="1447" spans="1:7" ht="22.5" x14ac:dyDescent="0.25">
      <c r="A1447" s="13">
        <v>13805</v>
      </c>
      <c r="B1447" s="14">
        <v>43431.597685185188</v>
      </c>
      <c r="C1447" s="13" t="s">
        <v>10</v>
      </c>
      <c r="D1447" s="13" t="str">
        <f>"FARMACI FILE F"</f>
        <v>FARMACI FILE F</v>
      </c>
      <c r="E1447" s="13" t="str">
        <f>"BRISTOL - MYERS SQUIBB SRL Societa Unipersonale"</f>
        <v>BRISTOL - MYERS SQUIBB SRL Societa Unipersonale</v>
      </c>
      <c r="F1447" s="13" t="s">
        <v>14</v>
      </c>
      <c r="G1447" s="15">
        <v>20124.599999999999</v>
      </c>
    </row>
    <row r="1448" spans="1:7" ht="22.5" x14ac:dyDescent="0.25">
      <c r="A1448" s="13">
        <v>13806</v>
      </c>
      <c r="B1448" s="14">
        <v>43431.597685185188</v>
      </c>
      <c r="C1448" s="13" t="s">
        <v>11</v>
      </c>
      <c r="D1448" s="13" t="str">
        <f>"MANUTENZIONE ATTREZZATURE SANITARIE"</f>
        <v>MANUTENZIONE ATTREZZATURE SANITARIE</v>
      </c>
      <c r="E1448" s="13" t="str">
        <f>"BONESCHI &amp; C. SPA"</f>
        <v>BONESCHI &amp; C. SPA</v>
      </c>
      <c r="F1448" s="13" t="s">
        <v>22</v>
      </c>
      <c r="G1448" s="15">
        <v>1162.45</v>
      </c>
    </row>
    <row r="1449" spans="1:7" ht="22.5" x14ac:dyDescent="0.25">
      <c r="A1449" s="13">
        <v>13807</v>
      </c>
      <c r="B1449" s="14">
        <v>43431.597685185188</v>
      </c>
      <c r="C1449" s="13" t="s">
        <v>11</v>
      </c>
      <c r="D1449" s="13" t="str">
        <f>"MANUTENZIONE ATTREZZATURE SANITARIE"</f>
        <v>MANUTENZIONE ATTREZZATURE SANITARIE</v>
      </c>
      <c r="E1449" s="13" t="str">
        <f>"BONESCHI &amp; C. SPA"</f>
        <v>BONESCHI &amp; C. SPA</v>
      </c>
      <c r="F1449" s="13" t="s">
        <v>22</v>
      </c>
      <c r="G1449" s="15">
        <v>150</v>
      </c>
    </row>
    <row r="1450" spans="1:7" ht="22.5" x14ac:dyDescent="0.25">
      <c r="A1450" s="13">
        <v>13808</v>
      </c>
      <c r="B1450" s="14">
        <v>43431.597685185188</v>
      </c>
      <c r="C1450" s="13" t="s">
        <v>10</v>
      </c>
      <c r="D1450" s="13" t="str">
        <f>"MATERIALE PROTESICO"</f>
        <v>MATERIALE PROTESICO</v>
      </c>
      <c r="E1450" s="13" t="str">
        <f>"BIOTIM SRL"</f>
        <v>BIOTIM SRL</v>
      </c>
      <c r="F1450" s="13" t="s">
        <v>14</v>
      </c>
      <c r="G1450" s="15">
        <v>532.79999999999995</v>
      </c>
    </row>
    <row r="1451" spans="1:7" ht="22.5" x14ac:dyDescent="0.25">
      <c r="A1451" s="13">
        <v>13809</v>
      </c>
      <c r="B1451" s="14">
        <v>43431.597685185188</v>
      </c>
      <c r="C1451" s="13" t="s">
        <v>10</v>
      </c>
      <c r="D1451" s="13" t="str">
        <f>"MATERIALE PROTESICO"</f>
        <v>MATERIALE PROTESICO</v>
      </c>
      <c r="E1451" s="13" t="str">
        <f>"BIOTIM SRL"</f>
        <v>BIOTIM SRL</v>
      </c>
      <c r="F1451" s="13" t="s">
        <v>14</v>
      </c>
      <c r="G1451" s="15">
        <v>280.8</v>
      </c>
    </row>
    <row r="1452" spans="1:7" ht="22.5" x14ac:dyDescent="0.25">
      <c r="A1452" s="13">
        <v>13810</v>
      </c>
      <c r="B1452" s="14">
        <v>43431.597685185188</v>
      </c>
      <c r="C1452" s="13" t="s">
        <v>10</v>
      </c>
      <c r="D1452" s="13" t="str">
        <f>"MATERIALE PROTESICO"</f>
        <v>MATERIALE PROTESICO</v>
      </c>
      <c r="E1452" s="13" t="str">
        <f>"BIOTIM SRL"</f>
        <v>BIOTIM SRL</v>
      </c>
      <c r="F1452" s="13" t="s">
        <v>14</v>
      </c>
      <c r="G1452" s="15">
        <v>194.4</v>
      </c>
    </row>
    <row r="1453" spans="1:7" ht="22.5" x14ac:dyDescent="0.25">
      <c r="A1453" s="13">
        <v>13811</v>
      </c>
      <c r="B1453" s="14">
        <v>43431.597685185188</v>
      </c>
      <c r="C1453" s="13" t="s">
        <v>10</v>
      </c>
      <c r="D1453" s="13" t="str">
        <f>"MATERIALE PROTESICO"</f>
        <v>MATERIALE PROTESICO</v>
      </c>
      <c r="E1453" s="13" t="str">
        <f>"BIOTIM SRL"</f>
        <v>BIOTIM SRL</v>
      </c>
      <c r="F1453" s="13" t="s">
        <v>14</v>
      </c>
      <c r="G1453" s="15">
        <v>432</v>
      </c>
    </row>
    <row r="1454" spans="1:7" ht="22.5" x14ac:dyDescent="0.25">
      <c r="A1454" s="13">
        <v>13812</v>
      </c>
      <c r="B1454" s="14">
        <v>43431.597685185188</v>
      </c>
      <c r="C1454" s="13" t="s">
        <v>10</v>
      </c>
      <c r="D1454" s="13" t="str">
        <f>"MATERIALE PROTESICO"</f>
        <v>MATERIALE PROTESICO</v>
      </c>
      <c r="E1454" s="13" t="str">
        <f t="shared" ref="E1454:E1460" si="103">"BONESCHI &amp; C. SPA"</f>
        <v>BONESCHI &amp; C. SPA</v>
      </c>
      <c r="F1454" s="13" t="s">
        <v>14</v>
      </c>
      <c r="G1454" s="15">
        <v>923</v>
      </c>
    </row>
    <row r="1455" spans="1:7" ht="22.5" x14ac:dyDescent="0.25">
      <c r="A1455" s="13">
        <v>13813</v>
      </c>
      <c r="B1455" s="14">
        <v>43431.597685185188</v>
      </c>
      <c r="C1455" s="13" t="s">
        <v>10</v>
      </c>
      <c r="D1455" s="13" t="str">
        <f t="shared" ref="D1455:D1460" si="104">"STRUMENTARIO CHIRURGICO (K, L)"</f>
        <v>STRUMENTARIO CHIRURGICO (K, L)</v>
      </c>
      <c r="E1455" s="13" t="str">
        <f t="shared" si="103"/>
        <v>BONESCHI &amp; C. SPA</v>
      </c>
      <c r="F1455" s="13" t="s">
        <v>14</v>
      </c>
      <c r="G1455" s="15">
        <v>142.38</v>
      </c>
    </row>
    <row r="1456" spans="1:7" ht="22.5" x14ac:dyDescent="0.25">
      <c r="A1456" s="13">
        <v>13814</v>
      </c>
      <c r="B1456" s="14">
        <v>43431.597685185188</v>
      </c>
      <c r="C1456" s="13" t="s">
        <v>10</v>
      </c>
      <c r="D1456" s="13" t="str">
        <f t="shared" si="104"/>
        <v>STRUMENTARIO CHIRURGICO (K, L)</v>
      </c>
      <c r="E1456" s="13" t="str">
        <f t="shared" si="103"/>
        <v>BONESCHI &amp; C. SPA</v>
      </c>
      <c r="F1456" s="13" t="s">
        <v>14</v>
      </c>
      <c r="G1456" s="15">
        <v>217</v>
      </c>
    </row>
    <row r="1457" spans="1:7" ht="22.5" x14ac:dyDescent="0.25">
      <c r="A1457" s="13">
        <v>13815</v>
      </c>
      <c r="B1457" s="14">
        <v>43431.597685185188</v>
      </c>
      <c r="C1457" s="13" t="s">
        <v>10</v>
      </c>
      <c r="D1457" s="13" t="str">
        <f t="shared" si="104"/>
        <v>STRUMENTARIO CHIRURGICO (K, L)</v>
      </c>
      <c r="E1457" s="13" t="str">
        <f t="shared" si="103"/>
        <v>BONESCHI &amp; C. SPA</v>
      </c>
      <c r="F1457" s="13" t="s">
        <v>14</v>
      </c>
      <c r="G1457" s="15">
        <v>177</v>
      </c>
    </row>
    <row r="1458" spans="1:7" ht="22.5" x14ac:dyDescent="0.25">
      <c r="A1458" s="13">
        <v>13816</v>
      </c>
      <c r="B1458" s="14">
        <v>43431.597685185188</v>
      </c>
      <c r="C1458" s="13" t="s">
        <v>10</v>
      </c>
      <c r="D1458" s="13" t="str">
        <f t="shared" si="104"/>
        <v>STRUMENTARIO CHIRURGICO (K, L)</v>
      </c>
      <c r="E1458" s="13" t="str">
        <f t="shared" si="103"/>
        <v>BONESCHI &amp; C. SPA</v>
      </c>
      <c r="F1458" s="13" t="s">
        <v>14</v>
      </c>
      <c r="G1458" s="15">
        <v>98.6</v>
      </c>
    </row>
    <row r="1459" spans="1:7" ht="22.5" x14ac:dyDescent="0.25">
      <c r="A1459" s="13">
        <v>13817</v>
      </c>
      <c r="B1459" s="14">
        <v>43431.597685185188</v>
      </c>
      <c r="C1459" s="13" t="s">
        <v>10</v>
      </c>
      <c r="D1459" s="13" t="str">
        <f t="shared" si="104"/>
        <v>STRUMENTARIO CHIRURGICO (K, L)</v>
      </c>
      <c r="E1459" s="13" t="str">
        <f t="shared" si="103"/>
        <v>BONESCHI &amp; C. SPA</v>
      </c>
      <c r="F1459" s="13" t="s">
        <v>14</v>
      </c>
      <c r="G1459" s="15">
        <v>138.19999999999999</v>
      </c>
    </row>
    <row r="1460" spans="1:7" ht="22.5" x14ac:dyDescent="0.25">
      <c r="A1460" s="13">
        <v>13818</v>
      </c>
      <c r="B1460" s="14">
        <v>43431.597685185188</v>
      </c>
      <c r="C1460" s="13" t="s">
        <v>10</v>
      </c>
      <c r="D1460" s="13" t="str">
        <f t="shared" si="104"/>
        <v>STRUMENTARIO CHIRURGICO (K, L)</v>
      </c>
      <c r="E1460" s="13" t="str">
        <f t="shared" si="103"/>
        <v>BONESCHI &amp; C. SPA</v>
      </c>
      <c r="F1460" s="13" t="s">
        <v>14</v>
      </c>
      <c r="G1460" s="15">
        <v>576.20000000000005</v>
      </c>
    </row>
    <row r="1461" spans="1:7" ht="22.5" x14ac:dyDescent="0.25">
      <c r="A1461" s="13">
        <v>13819</v>
      </c>
      <c r="B1461" s="14">
        <v>43431.597696759258</v>
      </c>
      <c r="C1461" s="13" t="s">
        <v>10</v>
      </c>
      <c r="D1461" s="13" t="str">
        <f>"ALTRO MATERIALE SANITARIO (SENZA CND)"</f>
        <v>ALTRO MATERIALE SANITARIO (SENZA CND)</v>
      </c>
      <c r="E1461" s="13" t="str">
        <f>"CARLO ERBA REAGENTS SRL"</f>
        <v>CARLO ERBA REAGENTS SRL</v>
      </c>
      <c r="F1461" s="13" t="s">
        <v>16</v>
      </c>
      <c r="G1461" s="15">
        <v>9</v>
      </c>
    </row>
    <row r="1462" spans="1:7" ht="33.75" x14ac:dyDescent="0.25">
      <c r="A1462" s="13">
        <v>13820</v>
      </c>
      <c r="B1462" s="14">
        <v>43431.597696759258</v>
      </c>
      <c r="C1462" s="13" t="s">
        <v>10</v>
      </c>
      <c r="D1462" s="13" t="str">
        <f>"APP.RE SANITARIE E RELATIVI COMPONENTI ACCESSORI E MATERIALE RADIOGRAFICO (Z)"</f>
        <v>APP.RE SANITARIE E RELATIVI COMPONENTI ACCESSORI E MATERIALE RADIOGRAFICO (Z)</v>
      </c>
      <c r="E1462" s="13" t="str">
        <f>"CERACARTA SPA"</f>
        <v>CERACARTA SPA</v>
      </c>
      <c r="F1462" s="13" t="s">
        <v>14</v>
      </c>
      <c r="G1462" s="15">
        <v>61.6</v>
      </c>
    </row>
    <row r="1463" spans="1:7" ht="33.75" x14ac:dyDescent="0.25">
      <c r="A1463" s="13">
        <v>13821</v>
      </c>
      <c r="B1463" s="14">
        <v>43431.597696759258</v>
      </c>
      <c r="C1463" s="13" t="s">
        <v>10</v>
      </c>
      <c r="D1463" s="13" t="str">
        <f>"APP.RE SANITARIE E RELATIVI COMPONENTI ACCESSORI E MATERIALE RADIOGRAFICO (Z)"</f>
        <v>APP.RE SANITARIE E RELATIVI COMPONENTI ACCESSORI E MATERIALE RADIOGRAFICO (Z)</v>
      </c>
      <c r="E1463" s="13" t="str">
        <f>"CERACARTA SPA"</f>
        <v>CERACARTA SPA</v>
      </c>
      <c r="F1463" s="13" t="s">
        <v>14</v>
      </c>
      <c r="G1463" s="15">
        <v>47</v>
      </c>
    </row>
    <row r="1464" spans="1:7" ht="33.75" x14ac:dyDescent="0.25">
      <c r="A1464" s="13">
        <v>13822</v>
      </c>
      <c r="B1464" s="14">
        <v>43431.597696759258</v>
      </c>
      <c r="C1464" s="13" t="s">
        <v>10</v>
      </c>
      <c r="D1464" s="13" t="str">
        <f>"APP.RE SANITARIE E RELATIVI COMPONENTI ACCESSORI E MATERIALE RADIOGRAFICO (Z)"</f>
        <v>APP.RE SANITARIE E RELATIVI COMPONENTI ACCESSORI E MATERIALE RADIOGRAFICO (Z)</v>
      </c>
      <c r="E1464" s="13" t="str">
        <f>"CERACARTA SPA"</f>
        <v>CERACARTA SPA</v>
      </c>
      <c r="F1464" s="13" t="s">
        <v>14</v>
      </c>
      <c r="G1464" s="15">
        <v>294</v>
      </c>
    </row>
    <row r="1465" spans="1:7" ht="22.5" x14ac:dyDescent="0.25">
      <c r="A1465" s="13">
        <v>13823</v>
      </c>
      <c r="B1465" s="14">
        <v>43431.597696759258</v>
      </c>
      <c r="C1465" s="13" t="s">
        <v>10</v>
      </c>
      <c r="D1465" s="13" t="str">
        <f>"CANCELLERIA E SUPPORTI MECCANOGRAFICI"</f>
        <v>CANCELLERIA E SUPPORTI MECCANOGRAFICI</v>
      </c>
      <c r="E1465" s="13" t="str">
        <f>"CERACARTA SPA"</f>
        <v>CERACARTA SPA</v>
      </c>
      <c r="F1465" s="13" t="s">
        <v>14</v>
      </c>
      <c r="G1465" s="15">
        <v>54</v>
      </c>
    </row>
    <row r="1466" spans="1:7" ht="33.75" x14ac:dyDescent="0.25">
      <c r="A1466" s="13">
        <v>13824</v>
      </c>
      <c r="B1466" s="14">
        <v>43431.597696759258</v>
      </c>
      <c r="C1466" s="13" t="s">
        <v>10</v>
      </c>
      <c r="D1466" s="13" t="str">
        <f>"DISPOSITIVI DI SOMMINISTRAZIONE, PRELIEVO E RACCOLTA (CIN A)"</f>
        <v>DISPOSITIVI DI SOMMINISTRAZIONE, PRELIEVO E RACCOLTA (CIN A)</v>
      </c>
      <c r="E1466" s="13" t="str">
        <f>"CAIR ITALIA SRL"</f>
        <v>CAIR ITALIA SRL</v>
      </c>
      <c r="F1466" s="13" t="s">
        <v>14</v>
      </c>
      <c r="G1466" s="15">
        <v>344.32</v>
      </c>
    </row>
    <row r="1467" spans="1:7" ht="22.5" x14ac:dyDescent="0.25">
      <c r="A1467" s="13">
        <v>13825</v>
      </c>
      <c r="B1467" s="14">
        <v>43431.597696759258</v>
      </c>
      <c r="C1467" s="13" t="s">
        <v>10</v>
      </c>
      <c r="D1467" s="13" t="str">
        <f>"FARMACI FILE F"</f>
        <v>FARMACI FILE F</v>
      </c>
      <c r="E1467" s="13" t="str">
        <f>"CELGENE SRL"</f>
        <v>CELGENE SRL</v>
      </c>
      <c r="F1467" s="13" t="s">
        <v>14</v>
      </c>
      <c r="G1467" s="15">
        <v>1152.32</v>
      </c>
    </row>
    <row r="1468" spans="1:7" ht="22.5" x14ac:dyDescent="0.25">
      <c r="A1468" s="13">
        <v>13826</v>
      </c>
      <c r="B1468" s="14">
        <v>43431.597696759258</v>
      </c>
      <c r="C1468" s="13" t="s">
        <v>10</v>
      </c>
      <c r="D1468" s="13" t="str">
        <f>"FARMACI FILE F"</f>
        <v>FARMACI FILE F</v>
      </c>
      <c r="E1468" s="13" t="str">
        <f>"CELGENE SRL"</f>
        <v>CELGENE SRL</v>
      </c>
      <c r="F1468" s="13" t="s">
        <v>14</v>
      </c>
      <c r="G1468" s="15">
        <v>4609.28</v>
      </c>
    </row>
    <row r="1469" spans="1:7" ht="33.75" x14ac:dyDescent="0.25">
      <c r="A1469" s="13">
        <v>13827</v>
      </c>
      <c r="B1469" s="14">
        <v>43431.597696759258</v>
      </c>
      <c r="C1469" s="13" t="s">
        <v>10</v>
      </c>
      <c r="D1469" s="13" t="str">
        <f>"PRESIDI MEDICO-CHIRURGICI GENERICI E AUSILI TECNICI PER DISABILI H"</f>
        <v>PRESIDI MEDICO-CHIRURGICI GENERICI E AUSILI TECNICI PER DISABILI H</v>
      </c>
      <c r="E1469" s="13" t="str">
        <f>"BSN MEDICAL SRL Soc. con Socio Unico"</f>
        <v>BSN MEDICAL SRL Soc. con Socio Unico</v>
      </c>
      <c r="F1469" s="13" t="s">
        <v>14</v>
      </c>
      <c r="G1469" s="15">
        <v>179.2</v>
      </c>
    </row>
    <row r="1470" spans="1:7" ht="22.5" x14ac:dyDescent="0.25">
      <c r="A1470" s="13">
        <v>13828</v>
      </c>
      <c r="B1470" s="14">
        <v>43431.597696759258</v>
      </c>
      <c r="C1470" s="13" t="s">
        <v>10</v>
      </c>
      <c r="D1470" s="13" t="str">
        <f>"PRODOTTI CHIMICI: MATERIALI DIAGNOSTICI (SENZA CND)"</f>
        <v>PRODOTTI CHIMICI: MATERIALI DIAGNOSTICI (SENZA CND)</v>
      </c>
      <c r="E1470" s="13" t="str">
        <f>"CARLO ERBA REAGENTS SRL"</f>
        <v>CARLO ERBA REAGENTS SRL</v>
      </c>
      <c r="F1470" s="13" t="s">
        <v>14</v>
      </c>
      <c r="G1470" s="15">
        <v>60.4</v>
      </c>
    </row>
    <row r="1471" spans="1:7" ht="22.5" x14ac:dyDescent="0.25">
      <c r="A1471" s="13">
        <v>13829</v>
      </c>
      <c r="B1471" s="14">
        <v>43431.597696759258</v>
      </c>
      <c r="C1471" s="13" t="s">
        <v>10</v>
      </c>
      <c r="D1471" s="13" t="str">
        <f>"PRODOTTI CHIMICI: MATERIALI DIAGNOSTICI (SENZA CND)"</f>
        <v>PRODOTTI CHIMICI: MATERIALI DIAGNOSTICI (SENZA CND)</v>
      </c>
      <c r="E1471" s="13" t="str">
        <f>"CARLO ERBA REAGENTS SRL"</f>
        <v>CARLO ERBA REAGENTS SRL</v>
      </c>
      <c r="F1471" s="13" t="s">
        <v>14</v>
      </c>
      <c r="G1471" s="15">
        <v>244.24</v>
      </c>
    </row>
    <row r="1472" spans="1:7" ht="22.5" x14ac:dyDescent="0.25">
      <c r="A1472" s="13">
        <v>13830</v>
      </c>
      <c r="B1472" s="14">
        <v>43431.597696759258</v>
      </c>
      <c r="C1472" s="13" t="s">
        <v>10</v>
      </c>
      <c r="D1472" s="13" t="str">
        <f>"PRODOTTI FARMACEUTICI CON AIC"</f>
        <v>PRODOTTI FARMACEUTICI CON AIC</v>
      </c>
      <c r="E1472" s="13" t="str">
        <f>"BRISTOL - MYERS SQUIBB SRL Societa Unipersonale"</f>
        <v>BRISTOL - MYERS SQUIBB SRL Societa Unipersonale</v>
      </c>
      <c r="F1472" s="13" t="s">
        <v>14</v>
      </c>
      <c r="G1472" s="15">
        <v>19.8</v>
      </c>
    </row>
    <row r="1473" spans="1:7" ht="22.5" x14ac:dyDescent="0.25">
      <c r="A1473" s="13">
        <v>13831</v>
      </c>
      <c r="B1473" s="14">
        <v>43431.597696759258</v>
      </c>
      <c r="C1473" s="13" t="s">
        <v>10</v>
      </c>
      <c r="D1473" s="13" t="str">
        <f>"PRODOTTI FARMACEUTICI CON AIC"</f>
        <v>PRODOTTI FARMACEUTICI CON AIC</v>
      </c>
      <c r="E1473" s="13" t="str">
        <f>"BRISTOL - MYERS SQUIBB SRL Societa Unipersonale"</f>
        <v>BRISTOL - MYERS SQUIBB SRL Societa Unipersonale</v>
      </c>
      <c r="F1473" s="13" t="s">
        <v>14</v>
      </c>
      <c r="G1473" s="15">
        <v>28.8</v>
      </c>
    </row>
    <row r="1474" spans="1:7" ht="22.5" x14ac:dyDescent="0.25">
      <c r="A1474" s="13">
        <v>13832</v>
      </c>
      <c r="B1474" s="14">
        <v>43431.597696759258</v>
      </c>
      <c r="C1474" s="13" t="s">
        <v>10</v>
      </c>
      <c r="D1474" s="13" t="str">
        <f>"PRODOTTI FARMACEUTICI CON AIC"</f>
        <v>PRODOTTI FARMACEUTICI CON AIC</v>
      </c>
      <c r="E1474" s="13" t="str">
        <f>"CHIESI FARMACEUTICI SPA"</f>
        <v>CHIESI FARMACEUTICI SPA</v>
      </c>
      <c r="F1474" s="13" t="s">
        <v>14</v>
      </c>
      <c r="G1474" s="15">
        <v>60.45</v>
      </c>
    </row>
    <row r="1475" spans="1:7" ht="22.5" x14ac:dyDescent="0.25">
      <c r="A1475" s="13">
        <v>13833</v>
      </c>
      <c r="B1475" s="14">
        <v>43431.597696759258</v>
      </c>
      <c r="C1475" s="13" t="s">
        <v>10</v>
      </c>
      <c r="D1475" s="13" t="str">
        <f>"PRODOTTI FARMACEUTICI CON AIC"</f>
        <v>PRODOTTI FARMACEUTICI CON AIC</v>
      </c>
      <c r="E1475" s="13" t="str">
        <f>"CHIESI FARMACEUTICI SPA"</f>
        <v>CHIESI FARMACEUTICI SPA</v>
      </c>
      <c r="F1475" s="13" t="s">
        <v>14</v>
      </c>
      <c r="G1475" s="15">
        <v>2528.35</v>
      </c>
    </row>
    <row r="1476" spans="1:7" ht="33.75" x14ac:dyDescent="0.25">
      <c r="A1476" s="13">
        <v>13834</v>
      </c>
      <c r="B1476" s="14">
        <v>43431.597708333335</v>
      </c>
      <c r="C1476" s="13" t="s">
        <v>10</v>
      </c>
      <c r="D1476" s="13" t="str">
        <f>"APP.RE SANITARIE E RELATIVI COMPONENTI ACCESSORI E MATERIALE RADIOGRAFICO (Z)"</f>
        <v>APP.RE SANITARIE E RELATIVI COMPONENTI ACCESSORI E MATERIALE RADIOGRAFICO (Z)</v>
      </c>
      <c r="E1476" s="13" t="str">
        <f>"COMMERCIALE SANITARIA LOMBARDA SRL"</f>
        <v>COMMERCIALE SANITARIA LOMBARDA SRL</v>
      </c>
      <c r="F1476" s="13" t="s">
        <v>14</v>
      </c>
      <c r="G1476" s="15">
        <v>84</v>
      </c>
    </row>
    <row r="1477" spans="1:7" ht="33.75" x14ac:dyDescent="0.25">
      <c r="A1477" s="13">
        <v>13835</v>
      </c>
      <c r="B1477" s="14">
        <v>43431.597708333335</v>
      </c>
      <c r="C1477" s="13" t="s">
        <v>10</v>
      </c>
      <c r="D1477" s="13" t="str">
        <f>"APP.RE SANITARIE E RELATIVI COMPONENTI ACCESSORI E MATERIALE RADIOGRAFICO (Z)"</f>
        <v>APP.RE SANITARIE E RELATIVI COMPONENTI ACCESSORI E MATERIALE RADIOGRAFICO (Z)</v>
      </c>
      <c r="E1477" s="13" t="str">
        <f>"CONMED ITALIA SRL con Socio Unico"</f>
        <v>CONMED ITALIA SRL con Socio Unico</v>
      </c>
      <c r="F1477" s="13" t="s">
        <v>14</v>
      </c>
      <c r="G1477" s="15">
        <v>918</v>
      </c>
    </row>
    <row r="1478" spans="1:7" ht="33.75" x14ac:dyDescent="0.25">
      <c r="A1478" s="13">
        <v>13836</v>
      </c>
      <c r="B1478" s="14">
        <v>43431.597708333335</v>
      </c>
      <c r="C1478" s="13" t="s">
        <v>10</v>
      </c>
      <c r="D1478" s="13" t="str">
        <f>"DISINFETTANTI, PRODOTTI PER STERILIZZAZIONE E DISPOSITIVI VARI V"</f>
        <v>DISINFETTANTI, PRODOTTI PER STERILIZZAZIONE E DISPOSITIVI VARI V</v>
      </c>
      <c r="E1478" s="13" t="str">
        <f>"COMMERCIALE SANITARIA LOMBARDA SRL"</f>
        <v>COMMERCIALE SANITARIA LOMBARDA SRL</v>
      </c>
      <c r="F1478" s="13" t="s">
        <v>14</v>
      </c>
      <c r="G1478" s="15">
        <v>71.5</v>
      </c>
    </row>
    <row r="1479" spans="1:7" ht="22.5" x14ac:dyDescent="0.25">
      <c r="A1479" s="13">
        <v>13837</v>
      </c>
      <c r="B1479" s="14">
        <v>43431.597708333335</v>
      </c>
      <c r="C1479" s="13" t="s">
        <v>11</v>
      </c>
      <c r="D1479" s="13" t="str">
        <f>"MANUTENZIONE ALTRI BENI ST"</f>
        <v>MANUTENZIONE ALTRI BENI ST</v>
      </c>
      <c r="E1479" s="13" t="str">
        <f>"COLOMBO LINOLEUM SRL"</f>
        <v>COLOMBO LINOLEUM SRL</v>
      </c>
      <c r="F1479" s="13" t="s">
        <v>22</v>
      </c>
      <c r="G1479" s="15">
        <v>1400</v>
      </c>
    </row>
    <row r="1480" spans="1:7" ht="22.5" x14ac:dyDescent="0.25">
      <c r="A1480" s="13">
        <v>13838</v>
      </c>
      <c r="B1480" s="14">
        <v>43431.597708333335</v>
      </c>
      <c r="C1480" s="13" t="s">
        <v>10</v>
      </c>
      <c r="D1480" s="13" t="str">
        <f t="shared" ref="D1480:D1487" si="105">"MATERIALE PROTESICO"</f>
        <v>MATERIALE PROTESICO</v>
      </c>
      <c r="E1480" s="13" t="str">
        <f t="shared" ref="E1480:E1487" si="106">"CONMED ITALIA SRL con Socio Unico"</f>
        <v>CONMED ITALIA SRL con Socio Unico</v>
      </c>
      <c r="F1480" s="13" t="s">
        <v>14</v>
      </c>
      <c r="G1480" s="15">
        <v>389.5</v>
      </c>
    </row>
    <row r="1481" spans="1:7" ht="22.5" x14ac:dyDescent="0.25">
      <c r="A1481" s="13">
        <v>13839</v>
      </c>
      <c r="B1481" s="14">
        <v>43431.597708333335</v>
      </c>
      <c r="C1481" s="13" t="s">
        <v>10</v>
      </c>
      <c r="D1481" s="13" t="str">
        <f t="shared" si="105"/>
        <v>MATERIALE PROTESICO</v>
      </c>
      <c r="E1481" s="13" t="str">
        <f t="shared" si="106"/>
        <v>CONMED ITALIA SRL con Socio Unico</v>
      </c>
      <c r="F1481" s="13" t="s">
        <v>14</v>
      </c>
      <c r="G1481" s="15">
        <v>389.5</v>
      </c>
    </row>
    <row r="1482" spans="1:7" ht="22.5" x14ac:dyDescent="0.25">
      <c r="A1482" s="13">
        <v>13840</v>
      </c>
      <c r="B1482" s="14">
        <v>43431.597708333335</v>
      </c>
      <c r="C1482" s="13" t="s">
        <v>10</v>
      </c>
      <c r="D1482" s="13" t="str">
        <f t="shared" si="105"/>
        <v>MATERIALE PROTESICO</v>
      </c>
      <c r="E1482" s="13" t="str">
        <f t="shared" si="106"/>
        <v>CONMED ITALIA SRL con Socio Unico</v>
      </c>
      <c r="F1482" s="13" t="s">
        <v>14</v>
      </c>
      <c r="G1482" s="15">
        <v>308.75</v>
      </c>
    </row>
    <row r="1483" spans="1:7" ht="22.5" x14ac:dyDescent="0.25">
      <c r="A1483" s="13">
        <v>13841</v>
      </c>
      <c r="B1483" s="14">
        <v>43431.597708333335</v>
      </c>
      <c r="C1483" s="13" t="s">
        <v>10</v>
      </c>
      <c r="D1483" s="13" t="str">
        <f t="shared" si="105"/>
        <v>MATERIALE PROTESICO</v>
      </c>
      <c r="E1483" s="13" t="str">
        <f t="shared" si="106"/>
        <v>CONMED ITALIA SRL con Socio Unico</v>
      </c>
      <c r="F1483" s="13" t="s">
        <v>14</v>
      </c>
      <c r="G1483" s="15">
        <v>745.75</v>
      </c>
    </row>
    <row r="1484" spans="1:7" ht="22.5" x14ac:dyDescent="0.25">
      <c r="A1484" s="13">
        <v>13842</v>
      </c>
      <c r="B1484" s="14">
        <v>43431.597708333335</v>
      </c>
      <c r="C1484" s="13" t="s">
        <v>10</v>
      </c>
      <c r="D1484" s="13" t="str">
        <f t="shared" si="105"/>
        <v>MATERIALE PROTESICO</v>
      </c>
      <c r="E1484" s="13" t="str">
        <f t="shared" si="106"/>
        <v>CONMED ITALIA SRL con Socio Unico</v>
      </c>
      <c r="F1484" s="13" t="s">
        <v>14</v>
      </c>
      <c r="G1484" s="15">
        <v>389.5</v>
      </c>
    </row>
    <row r="1485" spans="1:7" ht="22.5" x14ac:dyDescent="0.25">
      <c r="A1485" s="13">
        <v>13843</v>
      </c>
      <c r="B1485" s="14">
        <v>43431.597708333335</v>
      </c>
      <c r="C1485" s="13" t="s">
        <v>10</v>
      </c>
      <c r="D1485" s="13" t="str">
        <f t="shared" si="105"/>
        <v>MATERIALE PROTESICO</v>
      </c>
      <c r="E1485" s="13" t="str">
        <f t="shared" si="106"/>
        <v>CONMED ITALIA SRL con Socio Unico</v>
      </c>
      <c r="F1485" s="13" t="s">
        <v>14</v>
      </c>
      <c r="G1485" s="15">
        <v>389.5</v>
      </c>
    </row>
    <row r="1486" spans="1:7" ht="22.5" x14ac:dyDescent="0.25">
      <c r="A1486" s="13">
        <v>13844</v>
      </c>
      <c r="B1486" s="14">
        <v>43431.597708333335</v>
      </c>
      <c r="C1486" s="13" t="s">
        <v>10</v>
      </c>
      <c r="D1486" s="13" t="str">
        <f t="shared" si="105"/>
        <v>MATERIALE PROTESICO</v>
      </c>
      <c r="E1486" s="13" t="str">
        <f t="shared" si="106"/>
        <v>CONMED ITALIA SRL con Socio Unico</v>
      </c>
      <c r="F1486" s="13" t="s">
        <v>14</v>
      </c>
      <c r="G1486" s="15">
        <v>745.75</v>
      </c>
    </row>
    <row r="1487" spans="1:7" ht="22.5" x14ac:dyDescent="0.25">
      <c r="A1487" s="13">
        <v>13845</v>
      </c>
      <c r="B1487" s="14">
        <v>43431.597708333335</v>
      </c>
      <c r="C1487" s="13" t="s">
        <v>10</v>
      </c>
      <c r="D1487" s="13" t="str">
        <f t="shared" si="105"/>
        <v>MATERIALE PROTESICO</v>
      </c>
      <c r="E1487" s="13" t="str">
        <f t="shared" si="106"/>
        <v>CONMED ITALIA SRL con Socio Unico</v>
      </c>
      <c r="F1487" s="13" t="s">
        <v>14</v>
      </c>
      <c r="G1487" s="15">
        <v>389.5</v>
      </c>
    </row>
    <row r="1488" spans="1:7" ht="33.75" x14ac:dyDescent="0.25">
      <c r="A1488" s="13">
        <v>13846</v>
      </c>
      <c r="B1488" s="14">
        <v>43431.597708333335</v>
      </c>
      <c r="C1488" s="13" t="s">
        <v>10</v>
      </c>
      <c r="D1488" s="13" t="str">
        <f>"PRESIDI MEDICO-CHIRURGICI GENERICI E AUSILI TECNICI PER DISABILI M"</f>
        <v>PRESIDI MEDICO-CHIRURGICI GENERICI E AUSILI TECNICI PER DISABILI M</v>
      </c>
      <c r="E1488" s="13" t="str">
        <f>"COLOPLAST SPA"</f>
        <v>COLOPLAST SPA</v>
      </c>
      <c r="F1488" s="13" t="s">
        <v>14</v>
      </c>
      <c r="G1488" s="15">
        <v>335.79</v>
      </c>
    </row>
    <row r="1489" spans="1:7" ht="33.75" x14ac:dyDescent="0.25">
      <c r="A1489" s="13">
        <v>13847</v>
      </c>
      <c r="B1489" s="14">
        <v>43431.597708333335</v>
      </c>
      <c r="C1489" s="13" t="s">
        <v>10</v>
      </c>
      <c r="D1489" s="13" t="str">
        <f>"PRESIDI MEDICO-CHIRURGICI GENERICI E AUSILI TECNICI PER DISABILI M"</f>
        <v>PRESIDI MEDICO-CHIRURGICI GENERICI E AUSILI TECNICI PER DISABILI M</v>
      </c>
      <c r="E1489" s="13" t="str">
        <f>"COLOPLAST SPA"</f>
        <v>COLOPLAST SPA</v>
      </c>
      <c r="F1489" s="13" t="s">
        <v>14</v>
      </c>
      <c r="G1489" s="15">
        <v>58.6</v>
      </c>
    </row>
    <row r="1490" spans="1:7" ht="33.75" x14ac:dyDescent="0.25">
      <c r="A1490" s="13">
        <v>13848</v>
      </c>
      <c r="B1490" s="14">
        <v>43431.597708333335</v>
      </c>
      <c r="C1490" s="13" t="s">
        <v>10</v>
      </c>
      <c r="D1490" s="13" t="str">
        <f>"PRESIDI MEDICO-CHIRURGICI GENERICI E AUSILI TECNICI PER DISABILI Y"</f>
        <v>PRESIDI MEDICO-CHIRURGICI GENERICI E AUSILI TECNICI PER DISABILI Y</v>
      </c>
      <c r="E1490" s="13" t="str">
        <f>"COMMERCIALE SANITARIA LOMBARDA SRL"</f>
        <v>COMMERCIALE SANITARIA LOMBARDA SRL</v>
      </c>
      <c r="F1490" s="13" t="s">
        <v>14</v>
      </c>
      <c r="G1490" s="15">
        <v>165</v>
      </c>
    </row>
    <row r="1491" spans="1:7" ht="22.5" x14ac:dyDescent="0.25">
      <c r="A1491" s="13">
        <v>13849</v>
      </c>
      <c r="B1491" s="14">
        <v>43431.597708333335</v>
      </c>
      <c r="C1491" s="13" t="s">
        <v>10</v>
      </c>
      <c r="D1491" s="13" t="str">
        <f>"PRESIDI MEDICO-CHIRURGICI SPECIALISTICI U"</f>
        <v>PRESIDI MEDICO-CHIRURGICI SPECIALISTICI U</v>
      </c>
      <c r="E1491" s="13" t="str">
        <f>"COLOPLAST SPA"</f>
        <v>COLOPLAST SPA</v>
      </c>
      <c r="F1491" s="13" t="s">
        <v>14</v>
      </c>
      <c r="G1491" s="15">
        <v>489.24</v>
      </c>
    </row>
    <row r="1492" spans="1:7" ht="22.5" x14ac:dyDescent="0.25">
      <c r="A1492" s="13">
        <v>13850</v>
      </c>
      <c r="B1492" s="14">
        <v>43431.597708333335</v>
      </c>
      <c r="C1492" s="13" t="s">
        <v>10</v>
      </c>
      <c r="D1492" s="13" t="str">
        <f>"STRUMENTARIO CHIRURGICO (K, L)"</f>
        <v>STRUMENTARIO CHIRURGICO (K, L)</v>
      </c>
      <c r="E1492" s="13" t="str">
        <f>"CONMED ITALIA SRL con Socio Unico"</f>
        <v>CONMED ITALIA SRL con Socio Unico</v>
      </c>
      <c r="F1492" s="13" t="s">
        <v>14</v>
      </c>
      <c r="G1492" s="15">
        <v>1026</v>
      </c>
    </row>
    <row r="1493" spans="1:7" ht="33.75" x14ac:dyDescent="0.25">
      <c r="A1493" s="13">
        <v>13851</v>
      </c>
      <c r="B1493" s="14">
        <v>43431.597719907404</v>
      </c>
      <c r="C1493" s="13" t="s">
        <v>10</v>
      </c>
      <c r="D1493" s="13" t="str">
        <f>"DISINFETTANTI, PRODOTTI PER STERILIZZAZIONE E DISPOSITIVI VARI V"</f>
        <v>DISINFETTANTI, PRODOTTI PER STERILIZZAZIONE E DISPOSITIVI VARI V</v>
      </c>
      <c r="E1493" s="13" t="str">
        <f>"COREMEC SRL"</f>
        <v>COREMEC SRL</v>
      </c>
      <c r="F1493" s="13" t="s">
        <v>14</v>
      </c>
      <c r="G1493" s="15">
        <v>118.5</v>
      </c>
    </row>
    <row r="1494" spans="1:7" ht="33.75" x14ac:dyDescent="0.25">
      <c r="A1494" s="13">
        <v>13852</v>
      </c>
      <c r="B1494" s="14">
        <v>43431.597719907404</v>
      </c>
      <c r="C1494" s="13" t="s">
        <v>10</v>
      </c>
      <c r="D1494" s="13" t="str">
        <f>"DISINFETTANTI, PRODOTTI PER STERILIZZAZIONE E DISPOSITIVI VARI V"</f>
        <v>DISINFETTANTI, PRODOTTI PER STERILIZZAZIONE E DISPOSITIVI VARI V</v>
      </c>
      <c r="E1494" s="13" t="str">
        <f>"COREMEC SRL"</f>
        <v>COREMEC SRL</v>
      </c>
      <c r="F1494" s="13" t="s">
        <v>14</v>
      </c>
      <c r="G1494" s="15">
        <v>3792</v>
      </c>
    </row>
    <row r="1495" spans="1:7" ht="22.5" x14ac:dyDescent="0.25">
      <c r="A1495" s="13">
        <v>13853</v>
      </c>
      <c r="B1495" s="14">
        <v>43431.597719907404</v>
      </c>
      <c r="C1495" s="13" t="s">
        <v>11</v>
      </c>
      <c r="D1495" s="13" t="str">
        <f>"MANUTENZIONE SOFTWARE"</f>
        <v>MANUTENZIONE SOFTWARE</v>
      </c>
      <c r="E1495" s="13" t="str">
        <f>"DEDALUS SPA con Socio Unico"</f>
        <v>DEDALUS SPA con Socio Unico</v>
      </c>
      <c r="F1495" s="13" t="s">
        <v>22</v>
      </c>
      <c r="G1495" s="15">
        <v>2950</v>
      </c>
    </row>
    <row r="1496" spans="1:7" ht="22.5" x14ac:dyDescent="0.25">
      <c r="A1496" s="13">
        <v>13854</v>
      </c>
      <c r="B1496" s="14">
        <v>43431.597719907404</v>
      </c>
      <c r="C1496" s="13" t="s">
        <v>10</v>
      </c>
      <c r="D1496" s="13" t="str">
        <f>"MATERIALE DIAGNOSTICO (W)"</f>
        <v>MATERIALE DIAGNOSTICO (W)</v>
      </c>
      <c r="E1496" s="13" t="str">
        <f>"DASIT SPA"</f>
        <v>DASIT SPA</v>
      </c>
      <c r="F1496" s="13" t="s">
        <v>14</v>
      </c>
      <c r="G1496" s="15">
        <v>1668.84</v>
      </c>
    </row>
    <row r="1497" spans="1:7" ht="22.5" x14ac:dyDescent="0.25">
      <c r="A1497" s="13">
        <v>13855</v>
      </c>
      <c r="B1497" s="14">
        <v>43431.597719907404</v>
      </c>
      <c r="C1497" s="13" t="s">
        <v>10</v>
      </c>
      <c r="D1497" s="13" t="str">
        <f>"MATERIALE PROTESICO"</f>
        <v>MATERIALE PROTESICO</v>
      </c>
      <c r="E1497" s="13" t="str">
        <f>"DIAL MEDICALI SRL"</f>
        <v>DIAL MEDICALI SRL</v>
      </c>
      <c r="F1497" s="13" t="s">
        <v>14</v>
      </c>
      <c r="G1497" s="15">
        <v>1450</v>
      </c>
    </row>
    <row r="1498" spans="1:7" ht="22.5" x14ac:dyDescent="0.25">
      <c r="A1498" s="13">
        <v>13856</v>
      </c>
      <c r="B1498" s="14">
        <v>43431.597719907404</v>
      </c>
      <c r="C1498" s="13" t="s">
        <v>10</v>
      </c>
      <c r="D1498" s="13" t="str">
        <f>"MATERIALE PROTESICO"</f>
        <v>MATERIALE PROTESICO</v>
      </c>
      <c r="E1498" s="13" t="str">
        <f>"DIAL MEDICALI SRL"</f>
        <v>DIAL MEDICALI SRL</v>
      </c>
      <c r="F1498" s="13" t="s">
        <v>14</v>
      </c>
      <c r="G1498" s="15">
        <v>288</v>
      </c>
    </row>
    <row r="1499" spans="1:7" ht="22.5" x14ac:dyDescent="0.25">
      <c r="A1499" s="13">
        <v>13857</v>
      </c>
      <c r="B1499" s="14">
        <v>43431.597719907404</v>
      </c>
      <c r="C1499" s="13" t="s">
        <v>10</v>
      </c>
      <c r="D1499" s="13" t="str">
        <f>"MATERIALE PROTESICO"</f>
        <v>MATERIALE PROTESICO</v>
      </c>
      <c r="E1499" s="13" t="str">
        <f>"DIAL MEDICALI SRL"</f>
        <v>DIAL MEDICALI SRL</v>
      </c>
      <c r="F1499" s="13" t="s">
        <v>14</v>
      </c>
      <c r="G1499" s="15">
        <v>230.4</v>
      </c>
    </row>
    <row r="1500" spans="1:7" ht="22.5" x14ac:dyDescent="0.25">
      <c r="A1500" s="13">
        <v>13858</v>
      </c>
      <c r="B1500" s="14">
        <v>43431.597719907404</v>
      </c>
      <c r="C1500" s="13" t="s">
        <v>10</v>
      </c>
      <c r="D1500" s="13" t="str">
        <f>"MATERIALE PROTESICO"</f>
        <v>MATERIALE PROTESICO</v>
      </c>
      <c r="E1500" s="13" t="str">
        <f>"DIAL MEDICALI SRL"</f>
        <v>DIAL MEDICALI SRL</v>
      </c>
      <c r="F1500" s="13" t="s">
        <v>14</v>
      </c>
      <c r="G1500" s="15">
        <v>2317.34</v>
      </c>
    </row>
    <row r="1501" spans="1:7" ht="22.5" x14ac:dyDescent="0.25">
      <c r="A1501" s="13">
        <v>13859</v>
      </c>
      <c r="B1501" s="14">
        <v>43431.597719907404</v>
      </c>
      <c r="C1501" s="13" t="s">
        <v>10</v>
      </c>
      <c r="D1501" s="13" t="str">
        <f>"PRESIDI MEDICO-CHIRURGICI SPECIALISTICI R"</f>
        <v>PRESIDI MEDICO-CHIRURGICI SPECIALISTICI R</v>
      </c>
      <c r="E1501" s="13" t="str">
        <f>"DEAS SRL"</f>
        <v>DEAS SRL</v>
      </c>
      <c r="F1501" s="13" t="s">
        <v>14</v>
      </c>
      <c r="G1501" s="15">
        <v>292</v>
      </c>
    </row>
    <row r="1502" spans="1:7" ht="33.75" x14ac:dyDescent="0.25">
      <c r="A1502" s="13">
        <v>13860</v>
      </c>
      <c r="B1502" s="14">
        <v>43431.597719907404</v>
      </c>
      <c r="C1502" s="13" t="s">
        <v>10</v>
      </c>
      <c r="D1502" s="13" t="str">
        <f>"SERVIZIO TRASPORTO MAGAZZINAGGIO FACCHINAGGIO IN APPALTO"</f>
        <v>SERVIZIO TRASPORTO MAGAZZINAGGIO FACCHINAGGIO IN APPALTO</v>
      </c>
      <c r="E1502" s="13" t="str">
        <f>"COOPSERVICE Societa Cooperativa P.A."</f>
        <v>COOPSERVICE Societa Cooperativa P.A.</v>
      </c>
      <c r="F1502" s="13" t="s">
        <v>14</v>
      </c>
      <c r="G1502" s="15">
        <v>4102.1000000000004</v>
      </c>
    </row>
    <row r="1503" spans="1:7" ht="33.75" x14ac:dyDescent="0.25">
      <c r="A1503" s="13">
        <v>13861</v>
      </c>
      <c r="B1503" s="14">
        <v>43431.597719907404</v>
      </c>
      <c r="C1503" s="13" t="s">
        <v>10</v>
      </c>
      <c r="D1503" s="13" t="str">
        <f>"SERVIZIO TRASPORTO MAGAZZINAGGIO FACCHINAGGIO IN APPALTO"</f>
        <v>SERVIZIO TRASPORTO MAGAZZINAGGIO FACCHINAGGIO IN APPALTO</v>
      </c>
      <c r="E1503" s="13" t="str">
        <f>"COOPSERVICE Societa Cooperativa P.A."</f>
        <v>COOPSERVICE Societa Cooperativa P.A.</v>
      </c>
      <c r="F1503" s="13" t="s">
        <v>14</v>
      </c>
      <c r="G1503" s="15">
        <v>3946.8</v>
      </c>
    </row>
    <row r="1504" spans="1:7" ht="33.75" x14ac:dyDescent="0.25">
      <c r="A1504" s="13">
        <v>13862</v>
      </c>
      <c r="B1504" s="14">
        <v>43431.597719907404</v>
      </c>
      <c r="C1504" s="13" t="s">
        <v>10</v>
      </c>
      <c r="D1504" s="13" t="str">
        <f>"SERVIZIO TRASPORTO MAGAZZINAGGIO FACCHINAGGIO IN APPALTO"</f>
        <v>SERVIZIO TRASPORTO MAGAZZINAGGIO FACCHINAGGIO IN APPALTO</v>
      </c>
      <c r="E1504" s="13" t="str">
        <f>"COOPSERVICE Societa Cooperativa P.A."</f>
        <v>COOPSERVICE Societa Cooperativa P.A.</v>
      </c>
      <c r="F1504" s="13" t="s">
        <v>14</v>
      </c>
      <c r="G1504" s="15">
        <v>2830.9</v>
      </c>
    </row>
    <row r="1505" spans="1:7" ht="33.75" x14ac:dyDescent="0.25">
      <c r="A1505" s="13">
        <v>13863</v>
      </c>
      <c r="B1505" s="14">
        <v>43431.597719907404</v>
      </c>
      <c r="C1505" s="13" t="s">
        <v>10</v>
      </c>
      <c r="D1505" s="13" t="str">
        <f>"SERVIZIO TRASPORTO MAGAZZINAGGIO FACCHINAGGIO IN APPALTO"</f>
        <v>SERVIZIO TRASPORTO MAGAZZINAGGIO FACCHINAGGIO IN APPALTO</v>
      </c>
      <c r="E1505" s="13" t="str">
        <f>"COOPSERVICE Societa Cooperativa P.A."</f>
        <v>COOPSERVICE Societa Cooperativa P.A.</v>
      </c>
      <c r="F1505" s="13" t="s">
        <v>14</v>
      </c>
      <c r="G1505" s="15">
        <v>2796</v>
      </c>
    </row>
    <row r="1506" spans="1:7" ht="22.5" x14ac:dyDescent="0.25">
      <c r="A1506" s="13">
        <v>13864</v>
      </c>
      <c r="B1506" s="14">
        <v>43431.597719907404</v>
      </c>
      <c r="C1506" s="13" t="s">
        <v>10</v>
      </c>
      <c r="D1506" s="13" t="str">
        <f>"STRUMENTARIO CHIRURGICO (K, L)"</f>
        <v>STRUMENTARIO CHIRURGICO (K, L)</v>
      </c>
      <c r="E1506" s="13" t="str">
        <f>"CONMED ITALIA SRL con Socio Unico"</f>
        <v>CONMED ITALIA SRL con Socio Unico</v>
      </c>
      <c r="F1506" s="13" t="s">
        <v>14</v>
      </c>
      <c r="G1506" s="15">
        <v>1821</v>
      </c>
    </row>
    <row r="1507" spans="1:7" ht="22.5" x14ac:dyDescent="0.25">
      <c r="A1507" s="13">
        <v>13865</v>
      </c>
      <c r="B1507" s="14">
        <v>43431.597719907404</v>
      </c>
      <c r="C1507" s="13" t="s">
        <v>10</v>
      </c>
      <c r="D1507" s="13" t="str">
        <f>"STRUMENTARIO CHIRURGICO (K, L)"</f>
        <v>STRUMENTARIO CHIRURGICO (K, L)</v>
      </c>
      <c r="E1507" s="13" t="str">
        <f>"CONMED ITALIA SRL con Socio Unico"</f>
        <v>CONMED ITALIA SRL con Socio Unico</v>
      </c>
      <c r="F1507" s="13" t="s">
        <v>14</v>
      </c>
      <c r="G1507" s="15">
        <v>1785</v>
      </c>
    </row>
    <row r="1508" spans="1:7" ht="22.5" x14ac:dyDescent="0.25">
      <c r="A1508" s="13">
        <v>13866</v>
      </c>
      <c r="B1508" s="14">
        <v>43431.597731481481</v>
      </c>
      <c r="C1508" s="13" t="s">
        <v>10</v>
      </c>
      <c r="D1508" s="13" t="str">
        <f>"ALTRI SERVIZI"</f>
        <v>ALTRI SERVIZI</v>
      </c>
      <c r="E1508" s="13" t="str">
        <f>"DIAPATH SPA"</f>
        <v>DIAPATH SPA</v>
      </c>
      <c r="F1508" s="13" t="str">
        <f>"ALTRE SPESE PER SERV.NON SANITARI"</f>
        <v>ALTRE SPESE PER SERV.NON SANITARI</v>
      </c>
      <c r="G1508" s="15">
        <v>15</v>
      </c>
    </row>
    <row r="1509" spans="1:7" ht="22.5" x14ac:dyDescent="0.25">
      <c r="A1509" s="13">
        <v>13867</v>
      </c>
      <c r="B1509" s="14">
        <v>43431.597731481481</v>
      </c>
      <c r="C1509" s="13" t="s">
        <v>10</v>
      </c>
      <c r="D1509" s="13" t="str">
        <f>"MATERIALE DIAGNOSTICO (W)"</f>
        <v>MATERIALE DIAGNOSTICO (W)</v>
      </c>
      <c r="E1509" s="13" t="str">
        <f>"DIAPATH SPA"</f>
        <v>DIAPATH SPA</v>
      </c>
      <c r="F1509" s="13" t="s">
        <v>14</v>
      </c>
      <c r="G1509" s="15">
        <v>1765.99</v>
      </c>
    </row>
    <row r="1510" spans="1:7" ht="22.5" x14ac:dyDescent="0.25">
      <c r="A1510" s="13">
        <v>13868</v>
      </c>
      <c r="B1510" s="14">
        <v>43431.597731481481</v>
      </c>
      <c r="C1510" s="13" t="s">
        <v>10</v>
      </c>
      <c r="D1510" s="13" t="str">
        <f>"MATERIALE DIAGNOSTICO (W)"</f>
        <v>MATERIALE DIAGNOSTICO (W)</v>
      </c>
      <c r="E1510" s="13" t="str">
        <f>"DIAPATH SPA"</f>
        <v>DIAPATH SPA</v>
      </c>
      <c r="F1510" s="13" t="s">
        <v>14</v>
      </c>
      <c r="G1510" s="15">
        <v>35</v>
      </c>
    </row>
    <row r="1511" spans="1:7" ht="22.5" x14ac:dyDescent="0.25">
      <c r="A1511" s="13">
        <v>13869</v>
      </c>
      <c r="B1511" s="14">
        <v>43431.597731481481</v>
      </c>
      <c r="C1511" s="13" t="s">
        <v>10</v>
      </c>
      <c r="D1511" s="13" t="str">
        <f>"MATERIALE DIAGNOSTICO (W)"</f>
        <v>MATERIALE DIAGNOSTICO (W)</v>
      </c>
      <c r="E1511" s="13" t="str">
        <f>"DIAPATH SPA"</f>
        <v>DIAPATH SPA</v>
      </c>
      <c r="F1511" s="13" t="s">
        <v>14</v>
      </c>
      <c r="G1511" s="15">
        <v>144</v>
      </c>
    </row>
    <row r="1512" spans="1:7" ht="22.5" x14ac:dyDescent="0.25">
      <c r="A1512" s="13">
        <v>13870</v>
      </c>
      <c r="B1512" s="14">
        <v>43431.597731481481</v>
      </c>
      <c r="C1512" s="13" t="s">
        <v>10</v>
      </c>
      <c r="D1512" s="13" t="str">
        <f>"MATERIALE PROTESICO"</f>
        <v>MATERIALE PROTESICO</v>
      </c>
      <c r="E1512" s="13" t="str">
        <f>"DIAL MEDICALI SRL"</f>
        <v>DIAL MEDICALI SRL</v>
      </c>
      <c r="F1512" s="13" t="s">
        <v>14</v>
      </c>
      <c r="G1512" s="15">
        <v>1350</v>
      </c>
    </row>
    <row r="1513" spans="1:7" ht="22.5" x14ac:dyDescent="0.25">
      <c r="A1513" s="13">
        <v>13871</v>
      </c>
      <c r="B1513" s="14">
        <v>43431.597731481481</v>
      </c>
      <c r="C1513" s="13" t="s">
        <v>10</v>
      </c>
      <c r="D1513" s="13" t="str">
        <f>"MATERIALE PROTESICO"</f>
        <v>MATERIALE PROTESICO</v>
      </c>
      <c r="E1513" s="13" t="str">
        <f>"DIAL MEDICALI SRL"</f>
        <v>DIAL MEDICALI SRL</v>
      </c>
      <c r="F1513" s="13" t="s">
        <v>14</v>
      </c>
      <c r="G1513" s="15">
        <v>288</v>
      </c>
    </row>
    <row r="1514" spans="1:7" ht="22.5" x14ac:dyDescent="0.25">
      <c r="A1514" s="13">
        <v>13872</v>
      </c>
      <c r="B1514" s="14">
        <v>43431.597731481481</v>
      </c>
      <c r="C1514" s="13" t="s">
        <v>10</v>
      </c>
      <c r="D1514" s="13" t="str">
        <f>"MATERIALE PROTESICO"</f>
        <v>MATERIALE PROTESICO</v>
      </c>
      <c r="E1514" s="13" t="str">
        <f>"DIAL MEDICALI SRL"</f>
        <v>DIAL MEDICALI SRL</v>
      </c>
      <c r="F1514" s="13" t="s">
        <v>14</v>
      </c>
      <c r="G1514" s="15">
        <v>288</v>
      </c>
    </row>
    <row r="1515" spans="1:7" ht="22.5" x14ac:dyDescent="0.25">
      <c r="A1515" s="13">
        <v>13873</v>
      </c>
      <c r="B1515" s="14">
        <v>43433.48400462963</v>
      </c>
      <c r="C1515" s="13" t="s">
        <v>10</v>
      </c>
      <c r="D1515" s="13" t="str">
        <f>"NOTE CREDITO DA EMETTERE"</f>
        <v>NOTE CREDITO DA EMETTERE</v>
      </c>
      <c r="E1515" s="13" t="str">
        <f t="shared" ref="E1515:E1524" si="107">"DAC SPA "</f>
        <v xml:space="preserve">DAC SPA </v>
      </c>
      <c r="F1515" s="13" t="s">
        <v>14</v>
      </c>
      <c r="G1515" s="15">
        <v>-59.54</v>
      </c>
    </row>
    <row r="1516" spans="1:7" ht="22.5" x14ac:dyDescent="0.25">
      <c r="A1516" s="13">
        <v>13874</v>
      </c>
      <c r="B1516" s="14">
        <v>43433.48400462963</v>
      </c>
      <c r="C1516" s="13" t="s">
        <v>10</v>
      </c>
      <c r="D1516" s="13" t="str">
        <f>"NOTE CREDITO DA EMETTERE"</f>
        <v>NOTE CREDITO DA EMETTERE</v>
      </c>
      <c r="E1516" s="13" t="str">
        <f t="shared" si="107"/>
        <v xml:space="preserve">DAC SPA </v>
      </c>
      <c r="F1516" s="13" t="s">
        <v>14</v>
      </c>
      <c r="G1516" s="15">
        <v>-59.54</v>
      </c>
    </row>
    <row r="1517" spans="1:7" ht="22.5" x14ac:dyDescent="0.25">
      <c r="A1517" s="13">
        <v>13875</v>
      </c>
      <c r="B1517" s="14">
        <v>43433.48400462963</v>
      </c>
      <c r="C1517" s="13" t="s">
        <v>10</v>
      </c>
      <c r="D1517" s="13" t="str">
        <f t="shared" ref="D1517:D1524" si="108">"PRODOTTI ALIMENTARI"</f>
        <v>PRODOTTI ALIMENTARI</v>
      </c>
      <c r="E1517" s="13" t="str">
        <f t="shared" si="107"/>
        <v xml:space="preserve">DAC SPA </v>
      </c>
      <c r="F1517" s="13" t="s">
        <v>16</v>
      </c>
      <c r="G1517" s="15">
        <v>258.04000000000002</v>
      </c>
    </row>
    <row r="1518" spans="1:7" ht="22.5" x14ac:dyDescent="0.25">
      <c r="A1518" s="13">
        <v>13876</v>
      </c>
      <c r="B1518" s="14">
        <v>43433.48400462963</v>
      </c>
      <c r="C1518" s="13" t="s">
        <v>10</v>
      </c>
      <c r="D1518" s="13" t="str">
        <f t="shared" si="108"/>
        <v>PRODOTTI ALIMENTARI</v>
      </c>
      <c r="E1518" s="13" t="str">
        <f t="shared" si="107"/>
        <v xml:space="preserve">DAC SPA </v>
      </c>
      <c r="F1518" s="13" t="s">
        <v>16</v>
      </c>
      <c r="G1518" s="15">
        <v>150.47</v>
      </c>
    </row>
    <row r="1519" spans="1:7" ht="22.5" x14ac:dyDescent="0.25">
      <c r="A1519" s="13">
        <v>13877</v>
      </c>
      <c r="B1519" s="14">
        <v>43433.48400462963</v>
      </c>
      <c r="C1519" s="13" t="s">
        <v>10</v>
      </c>
      <c r="D1519" s="13" t="str">
        <f t="shared" si="108"/>
        <v>PRODOTTI ALIMENTARI</v>
      </c>
      <c r="E1519" s="13" t="str">
        <f t="shared" si="107"/>
        <v xml:space="preserve">DAC SPA </v>
      </c>
      <c r="F1519" s="13" t="s">
        <v>16</v>
      </c>
      <c r="G1519" s="15">
        <v>286.77</v>
      </c>
    </row>
    <row r="1520" spans="1:7" ht="22.5" x14ac:dyDescent="0.25">
      <c r="A1520" s="13">
        <v>13878</v>
      </c>
      <c r="B1520" s="14">
        <v>43433.48400462963</v>
      </c>
      <c r="C1520" s="13" t="s">
        <v>10</v>
      </c>
      <c r="D1520" s="13" t="str">
        <f t="shared" si="108"/>
        <v>PRODOTTI ALIMENTARI</v>
      </c>
      <c r="E1520" s="13" t="str">
        <f t="shared" si="107"/>
        <v xml:space="preserve">DAC SPA </v>
      </c>
      <c r="F1520" s="13" t="s">
        <v>16</v>
      </c>
      <c r="G1520" s="15">
        <v>217.15</v>
      </c>
    </row>
    <row r="1521" spans="1:7" ht="22.5" x14ac:dyDescent="0.25">
      <c r="A1521" s="13">
        <v>13879</v>
      </c>
      <c r="B1521" s="14">
        <v>43433.48400462963</v>
      </c>
      <c r="C1521" s="13" t="s">
        <v>10</v>
      </c>
      <c r="D1521" s="13" t="str">
        <f t="shared" si="108"/>
        <v>PRODOTTI ALIMENTARI</v>
      </c>
      <c r="E1521" s="13" t="str">
        <f t="shared" si="107"/>
        <v xml:space="preserve">DAC SPA </v>
      </c>
      <c r="F1521" s="13" t="s">
        <v>16</v>
      </c>
      <c r="G1521" s="15">
        <v>285.86</v>
      </c>
    </row>
    <row r="1522" spans="1:7" ht="22.5" x14ac:dyDescent="0.25">
      <c r="A1522" s="13">
        <v>13880</v>
      </c>
      <c r="B1522" s="14">
        <v>43433.48400462963</v>
      </c>
      <c r="C1522" s="13" t="s">
        <v>10</v>
      </c>
      <c r="D1522" s="13" t="str">
        <f t="shared" si="108"/>
        <v>PRODOTTI ALIMENTARI</v>
      </c>
      <c r="E1522" s="13" t="str">
        <f t="shared" si="107"/>
        <v xml:space="preserve">DAC SPA </v>
      </c>
      <c r="F1522" s="13" t="s">
        <v>16</v>
      </c>
      <c r="G1522" s="15">
        <v>242.92</v>
      </c>
    </row>
    <row r="1523" spans="1:7" ht="22.5" x14ac:dyDescent="0.25">
      <c r="A1523" s="13">
        <v>13881</v>
      </c>
      <c r="B1523" s="14">
        <v>43433.48400462963</v>
      </c>
      <c r="C1523" s="13" t="s">
        <v>10</v>
      </c>
      <c r="D1523" s="13" t="str">
        <f t="shared" si="108"/>
        <v>PRODOTTI ALIMENTARI</v>
      </c>
      <c r="E1523" s="13" t="str">
        <f t="shared" si="107"/>
        <v xml:space="preserve">DAC SPA </v>
      </c>
      <c r="F1523" s="13" t="s">
        <v>16</v>
      </c>
      <c r="G1523" s="15">
        <v>30.24</v>
      </c>
    </row>
    <row r="1524" spans="1:7" ht="22.5" x14ac:dyDescent="0.25">
      <c r="A1524" s="13">
        <v>13882</v>
      </c>
      <c r="B1524" s="14">
        <v>43433.48400462963</v>
      </c>
      <c r="C1524" s="13" t="s">
        <v>10</v>
      </c>
      <c r="D1524" s="13" t="str">
        <f t="shared" si="108"/>
        <v>PRODOTTI ALIMENTARI</v>
      </c>
      <c r="E1524" s="13" t="str">
        <f t="shared" si="107"/>
        <v xml:space="preserve">DAC SPA </v>
      </c>
      <c r="F1524" s="13" t="s">
        <v>16</v>
      </c>
      <c r="G1524" s="15">
        <v>79.38</v>
      </c>
    </row>
    <row r="1525" spans="1:7" ht="22.5" x14ac:dyDescent="0.25">
      <c r="A1525" s="13">
        <v>13883</v>
      </c>
      <c r="B1525" s="14">
        <v>43433.522569444445</v>
      </c>
      <c r="C1525" s="13" t="s">
        <v>10</v>
      </c>
      <c r="D1525" s="13" t="str">
        <f>"ALTRI CANONI DI NOLEGGIO"</f>
        <v>ALTRI CANONI DI NOLEGGIO</v>
      </c>
      <c r="E1525" s="13" t="str">
        <f>"ARJO ITALIA SPA"</f>
        <v>ARJO ITALIA SPA</v>
      </c>
      <c r="F1525" s="13" t="s">
        <v>14</v>
      </c>
      <c r="G1525" s="15">
        <v>92</v>
      </c>
    </row>
    <row r="1526" spans="1:7" ht="22.5" x14ac:dyDescent="0.25">
      <c r="A1526" s="13">
        <v>13884</v>
      </c>
      <c r="B1526" s="14">
        <v>43433.522569444445</v>
      </c>
      <c r="C1526" s="13" t="s">
        <v>10</v>
      </c>
      <c r="D1526" s="13" t="str">
        <f>"ALTRI CANONI DI NOLEGGIO"</f>
        <v>ALTRI CANONI DI NOLEGGIO</v>
      </c>
      <c r="E1526" s="13" t="str">
        <f>"ARJO ITALIA SPA"</f>
        <v>ARJO ITALIA SPA</v>
      </c>
      <c r="F1526" s="13" t="s">
        <v>14</v>
      </c>
      <c r="G1526" s="15">
        <v>1648</v>
      </c>
    </row>
    <row r="1527" spans="1:7" ht="22.5" x14ac:dyDescent="0.25">
      <c r="A1527" s="13">
        <v>13885</v>
      </c>
      <c r="B1527" s="14">
        <v>43433.522569444445</v>
      </c>
      <c r="C1527" s="13" t="s">
        <v>10</v>
      </c>
      <c r="D1527" s="13" t="str">
        <f>"ALTRI CANONI DI NOLEGGIO"</f>
        <v>ALTRI CANONI DI NOLEGGIO</v>
      </c>
      <c r="E1527" s="13" t="str">
        <f>"ARJO ITALIA SPA"</f>
        <v>ARJO ITALIA SPA</v>
      </c>
      <c r="F1527" s="13" t="s">
        <v>14</v>
      </c>
      <c r="G1527" s="15">
        <v>-2.09</v>
      </c>
    </row>
    <row r="1528" spans="1:7" ht="22.5" x14ac:dyDescent="0.25">
      <c r="A1528" s="13">
        <v>13886</v>
      </c>
      <c r="B1528" s="14">
        <v>43433.522569444445</v>
      </c>
      <c r="C1528" s="13" t="s">
        <v>10</v>
      </c>
      <c r="D1528" s="13" t="str">
        <f>"ALTRI CANONI DI NOLEGGIO"</f>
        <v>ALTRI CANONI DI NOLEGGIO</v>
      </c>
      <c r="E1528" s="13" t="str">
        <f>"ARJO ITALIA SPA"</f>
        <v>ARJO ITALIA SPA</v>
      </c>
      <c r="F1528" s="13" t="s">
        <v>14</v>
      </c>
      <c r="G1528" s="15">
        <v>-4</v>
      </c>
    </row>
    <row r="1529" spans="1:7" ht="22.5" x14ac:dyDescent="0.25">
      <c r="A1529" s="13">
        <v>13887</v>
      </c>
      <c r="B1529" s="14">
        <v>43433.522569444445</v>
      </c>
      <c r="C1529" s="13" t="s">
        <v>10</v>
      </c>
      <c r="D1529" s="13" t="str">
        <f>"ALTRI CANONI DI NOLEGGIO"</f>
        <v>ALTRI CANONI DI NOLEGGIO</v>
      </c>
      <c r="E1529" s="13" t="str">
        <f>"ARJO ITALIA SPA"</f>
        <v>ARJO ITALIA SPA</v>
      </c>
      <c r="F1529" s="13" t="s">
        <v>14</v>
      </c>
      <c r="G1529" s="15">
        <v>2055.33</v>
      </c>
    </row>
    <row r="1530" spans="1:7" ht="22.5" x14ac:dyDescent="0.25">
      <c r="A1530" s="13">
        <v>13888</v>
      </c>
      <c r="B1530" s="14">
        <v>43434.42690972222</v>
      </c>
      <c r="C1530" s="13" t="s">
        <v>10</v>
      </c>
      <c r="D1530" s="13" t="str">
        <f>"CONSULENZE SANITARIE DA PRIVATO"</f>
        <v>CONSULENZE SANITARIE DA PRIVATO</v>
      </c>
      <c r="E1530" s="13" t="str">
        <f>"SOARDI MARIA LUISA"</f>
        <v>SOARDI MARIA LUISA</v>
      </c>
      <c r="F1530" s="13" t="s">
        <v>14</v>
      </c>
      <c r="G1530" s="15">
        <v>1832.4</v>
      </c>
    </row>
    <row r="1531" spans="1:7" ht="33.75" x14ac:dyDescent="0.25">
      <c r="A1531" s="13">
        <v>13889</v>
      </c>
      <c r="B1531" s="14">
        <v>43434.426921296297</v>
      </c>
      <c r="C1531" s="13" t="s">
        <v>11</v>
      </c>
      <c r="D1531" s="13" t="str">
        <f>"ACCANTONAMENTI PER COPERTURA DIRETTA DAI RISCHI (AUTOASSICURAZIONE)"</f>
        <v>ACCANTONAMENTI PER COPERTURA DIRETTA DAI RISCHI (AUTOASSICURAZIONE)</v>
      </c>
      <c r="E1531" s="13" t="str">
        <f>"MORINI OSVALDO"</f>
        <v>MORINI OSVALDO</v>
      </c>
      <c r="F1531" s="13" t="s">
        <v>17</v>
      </c>
      <c r="G1531" s="15">
        <v>663</v>
      </c>
    </row>
    <row r="1532" spans="1:7" ht="33.75" x14ac:dyDescent="0.25">
      <c r="A1532" s="13">
        <v>13890</v>
      </c>
      <c r="B1532" s="14">
        <v>43434.426921296297</v>
      </c>
      <c r="C1532" s="13" t="s">
        <v>11</v>
      </c>
      <c r="D1532" s="13" t="str">
        <f>"ACCANTONAMENTI PER COPERTURA DIRETTA DAI RISCHI (AUTOASSICURAZIONE)"</f>
        <v>ACCANTONAMENTI PER COPERTURA DIRETTA DAI RISCHI (AUTOASSICURAZIONE)</v>
      </c>
      <c r="E1532" s="13" t="str">
        <f>"MORINI OSVALDO"</f>
        <v>MORINI OSVALDO</v>
      </c>
      <c r="F1532" s="13" t="s">
        <v>17</v>
      </c>
      <c r="G1532" s="15">
        <v>663</v>
      </c>
    </row>
    <row r="1533" spans="1:7" ht="22.5" x14ac:dyDescent="0.25">
      <c r="A1533" s="13">
        <v>13891</v>
      </c>
      <c r="B1533" s="14">
        <v>43434.426921296297</v>
      </c>
      <c r="C1533" s="13" t="s">
        <v>10</v>
      </c>
      <c r="D1533" s="13" t="str">
        <f>"ALTRI CANONI DI NOLEGGIO"</f>
        <v>ALTRI CANONI DI NOLEGGIO</v>
      </c>
      <c r="E1533" s="13" t="str">
        <f>"LEASEPLAN ITALIA SPA"</f>
        <v>LEASEPLAN ITALIA SPA</v>
      </c>
      <c r="F1533" s="13" t="s">
        <v>14</v>
      </c>
      <c r="G1533" s="15">
        <v>193.41</v>
      </c>
    </row>
    <row r="1534" spans="1:7" ht="22.5" x14ac:dyDescent="0.25">
      <c r="A1534" s="13">
        <v>13892</v>
      </c>
      <c r="B1534" s="14">
        <v>43434.426921296297</v>
      </c>
      <c r="C1534" s="13" t="s">
        <v>10</v>
      </c>
      <c r="D1534" s="13" t="str">
        <f>"ALTRI CANONI DI NOLEGGIO"</f>
        <v>ALTRI CANONI DI NOLEGGIO</v>
      </c>
      <c r="E1534" s="13" t="str">
        <f>"LEASEPLAN ITALIA SPA"</f>
        <v>LEASEPLAN ITALIA SPA</v>
      </c>
      <c r="F1534" s="13" t="s">
        <v>14</v>
      </c>
      <c r="G1534" s="15">
        <v>193.41</v>
      </c>
    </row>
    <row r="1535" spans="1:7" ht="22.5" x14ac:dyDescent="0.25">
      <c r="A1535" s="13">
        <v>13893</v>
      </c>
      <c r="B1535" s="14">
        <v>43434.426921296297</v>
      </c>
      <c r="C1535" s="13" t="s">
        <v>10</v>
      </c>
      <c r="D1535" s="13" t="str">
        <f>"CONSULENZE SANITARIE DA PRIVATO"</f>
        <v>CONSULENZE SANITARIE DA PRIVATO</v>
      </c>
      <c r="E1535" s="13" t="str">
        <f>"ARTUSI CAROLINA"</f>
        <v>ARTUSI CAROLINA</v>
      </c>
      <c r="F1535" s="13" t="s">
        <v>14</v>
      </c>
      <c r="G1535" s="15">
        <v>2576</v>
      </c>
    </row>
    <row r="1536" spans="1:7" ht="22.5" x14ac:dyDescent="0.25">
      <c r="A1536" s="13">
        <v>13894</v>
      </c>
      <c r="B1536" s="14">
        <v>43434.426921296297</v>
      </c>
      <c r="C1536" s="13" t="s">
        <v>10</v>
      </c>
      <c r="D1536" s="13" t="str">
        <f>"CONSULENZE SANITARIE DA PRIVATO"</f>
        <v>CONSULENZE SANITARIE DA PRIVATO</v>
      </c>
      <c r="E1536" s="13" t="str">
        <f>"MACCHI VITTORIO"</f>
        <v>MACCHI VITTORIO</v>
      </c>
      <c r="F1536" s="13" t="s">
        <v>14</v>
      </c>
      <c r="G1536" s="15">
        <v>282</v>
      </c>
    </row>
    <row r="1537" spans="1:7" ht="22.5" x14ac:dyDescent="0.25">
      <c r="A1537" s="13">
        <v>13895</v>
      </c>
      <c r="B1537" s="14">
        <v>43434.426921296297</v>
      </c>
      <c r="C1537" s="13" t="s">
        <v>10</v>
      </c>
      <c r="D1537" s="13" t="str">
        <f>"CONSULENZE SANITARIE DA PRIVATO"</f>
        <v>CONSULENZE SANITARIE DA PRIVATO</v>
      </c>
      <c r="E1537" s="13" t="str">
        <f>"UGHI NICOLA"</f>
        <v>UGHI NICOLA</v>
      </c>
      <c r="F1537" s="13" t="s">
        <v>14</v>
      </c>
      <c r="G1537" s="15">
        <v>2302</v>
      </c>
    </row>
    <row r="1538" spans="1:7" ht="22.5" x14ac:dyDescent="0.25">
      <c r="A1538" s="13">
        <v>13896</v>
      </c>
      <c r="B1538" s="14">
        <v>43434.426921296297</v>
      </c>
      <c r="C1538" s="13" t="s">
        <v>10</v>
      </c>
      <c r="D1538" s="13" t="str">
        <f>"CANONI NOLEGGIO C.E.D. E ATTREZZATURE INFORMATICHE"</f>
        <v>CANONI NOLEGGIO C.E.D. E ATTREZZATURE INFORMATICHE</v>
      </c>
      <c r="E1538" s="13" t="str">
        <f>"KYOCERA DOCUMENT SOLUTIONS ITALIA SPA"</f>
        <v>KYOCERA DOCUMENT SOLUTIONS ITALIA SPA</v>
      </c>
      <c r="F1538" s="13" t="s">
        <v>14</v>
      </c>
      <c r="G1538" s="15">
        <v>352.45</v>
      </c>
    </row>
    <row r="1539" spans="1:7" ht="22.5" x14ac:dyDescent="0.25">
      <c r="A1539" s="13">
        <v>13897</v>
      </c>
      <c r="B1539" s="14">
        <v>43434.426932870374</v>
      </c>
      <c r="C1539" s="13" t="s">
        <v>11</v>
      </c>
      <c r="D1539" s="13" t="str">
        <f>"SPESE POS"</f>
        <v>SPESE POS</v>
      </c>
      <c r="E1539" s="13" t="str">
        <f>"INTESA SANPAOLO SPA"</f>
        <v>INTESA SANPAOLO SPA</v>
      </c>
      <c r="F1539" s="13" t="str">
        <f>"Canone POS spese di  servizio"</f>
        <v>Canone POS spese di  servizio</v>
      </c>
      <c r="G1539" s="15">
        <v>7.6</v>
      </c>
    </row>
    <row r="1540" spans="1:7" ht="22.5" x14ac:dyDescent="0.25">
      <c r="A1540" s="13">
        <v>13898</v>
      </c>
      <c r="B1540" s="14">
        <v>43434.426932870374</v>
      </c>
      <c r="C1540" s="13" t="s">
        <v>11</v>
      </c>
      <c r="D1540" s="13" t="str">
        <f>"SPESE POS"</f>
        <v>SPESE POS</v>
      </c>
      <c r="E1540" s="13" t="str">
        <f>"INTESA SANPAOLO SPA"</f>
        <v>INTESA SANPAOLO SPA</v>
      </c>
      <c r="F1540" s="13" t="str">
        <f>"Canone POS spese di servizio"</f>
        <v>Canone POS spese di servizio</v>
      </c>
      <c r="G1540" s="15">
        <v>7.6</v>
      </c>
    </row>
    <row r="1541" spans="1:7" ht="22.5" x14ac:dyDescent="0.25">
      <c r="A1541" s="13">
        <v>13899</v>
      </c>
      <c r="B1541" s="14">
        <v>43434.426932870374</v>
      </c>
      <c r="C1541" s="13" t="s">
        <v>11</v>
      </c>
      <c r="D1541" s="13" t="str">
        <f>"SPESE POS"</f>
        <v>SPESE POS</v>
      </c>
      <c r="E1541" s="13" t="str">
        <f>"INTESA SANPAOLO SPA"</f>
        <v>INTESA SANPAOLO SPA</v>
      </c>
      <c r="F1541" s="13" t="str">
        <f>"POS COMMISSIONI"</f>
        <v>POS COMMISSIONI</v>
      </c>
      <c r="G1541" s="15">
        <v>4909.57</v>
      </c>
    </row>
    <row r="1542" spans="1:7" ht="22.5" x14ac:dyDescent="0.25">
      <c r="A1542" s="13">
        <v>13900</v>
      </c>
      <c r="B1542" s="14">
        <v>43434.426932870374</v>
      </c>
      <c r="C1542" s="13" t="s">
        <v>11</v>
      </c>
      <c r="D1542" s="13" t="str">
        <f>"SPESE POS"</f>
        <v>SPESE POS</v>
      </c>
      <c r="E1542" s="13" t="str">
        <f>"INTESA SANPAOLO SPA"</f>
        <v>INTESA SANPAOLO SPA</v>
      </c>
      <c r="F1542" s="13" t="str">
        <f>"POS ottobre 2018"</f>
        <v>POS ottobre 2018</v>
      </c>
      <c r="G1542" s="15">
        <v>5751.22</v>
      </c>
    </row>
    <row r="1543" spans="1:7" ht="22.5" x14ac:dyDescent="0.25">
      <c r="A1543" s="13">
        <v>13901</v>
      </c>
      <c r="B1543" s="14">
        <v>43434.462337962963</v>
      </c>
      <c r="C1543" s="13" t="s">
        <v>10</v>
      </c>
      <c r="D1543" s="13" t="str">
        <f>"ALTRI CANONI DI NOLEGGIO"</f>
        <v>ALTRI CANONI DI NOLEGGIO</v>
      </c>
      <c r="E1543" s="13" t="str">
        <f>"KYOCERA DOCUMENT SOLUTIONS ITALIA SPA"</f>
        <v>KYOCERA DOCUMENT SOLUTIONS ITALIA SPA</v>
      </c>
      <c r="F1543" s="13" t="s">
        <v>14</v>
      </c>
      <c r="G1543" s="15">
        <v>104.81</v>
      </c>
    </row>
    <row r="1544" spans="1:7" ht="22.5" x14ac:dyDescent="0.25">
      <c r="A1544" s="13">
        <v>13902</v>
      </c>
      <c r="B1544" s="14">
        <v>43434.6796875</v>
      </c>
      <c r="C1544" s="13" t="s">
        <v>10</v>
      </c>
      <c r="D1544" s="13" t="str">
        <f>"SERVIZIO ARCHIVIAZIONE (CUP)"</f>
        <v>SERVIZIO ARCHIVIAZIONE (CUP)</v>
      </c>
      <c r="E1544" s="13" t="str">
        <f>"UNIVERSIIS - Societa Cooperativa Sociale"</f>
        <v>UNIVERSIIS - Societa Cooperativa Sociale</v>
      </c>
      <c r="F1544" s="13" t="str">
        <f>"ALTRE SPESE PER SERV.NON SANITARI"</f>
        <v>ALTRE SPESE PER SERV.NON SANITARI</v>
      </c>
      <c r="G1544" s="15">
        <v>11223.87</v>
      </c>
    </row>
    <row r="1545" spans="1:7" ht="22.5" x14ac:dyDescent="0.25">
      <c r="A1545" s="13">
        <v>13903</v>
      </c>
      <c r="B1545" s="14">
        <v>43434.679699074077</v>
      </c>
      <c r="C1545" s="13" t="s">
        <v>10</v>
      </c>
      <c r="D1545" s="13" t="str">
        <f>"FARMACI FILE F"</f>
        <v>FARMACI FILE F</v>
      </c>
      <c r="E1545" s="13" t="str">
        <f>"UCB PHARMA SPA"</f>
        <v>UCB PHARMA SPA</v>
      </c>
      <c r="F1545" s="13" t="s">
        <v>14</v>
      </c>
      <c r="G1545" s="15">
        <v>6830.5</v>
      </c>
    </row>
    <row r="1546" spans="1:7" ht="22.5" x14ac:dyDescent="0.25">
      <c r="A1546" s="13">
        <v>13904</v>
      </c>
      <c r="B1546" s="14">
        <v>43434.679699074077</v>
      </c>
      <c r="C1546" s="13" t="s">
        <v>10</v>
      </c>
      <c r="D1546" s="13" t="str">
        <f>"FARMACI FILE F"</f>
        <v>FARMACI FILE F</v>
      </c>
      <c r="E1546" s="13" t="str">
        <f>"UCB PHARMA SPA"</f>
        <v>UCB PHARMA SPA</v>
      </c>
      <c r="F1546" s="13" t="s">
        <v>14</v>
      </c>
      <c r="G1546" s="15">
        <v>4781.3500000000004</v>
      </c>
    </row>
    <row r="1547" spans="1:7" ht="22.5" x14ac:dyDescent="0.25">
      <c r="A1547" s="13">
        <v>13905</v>
      </c>
      <c r="B1547" s="14">
        <v>43434.679699074077</v>
      </c>
      <c r="C1547" s="13" t="s">
        <v>11</v>
      </c>
      <c r="D1547" s="13" t="str">
        <f>"MANUTENZIONE ALTRI BENI ST"</f>
        <v>MANUTENZIONE ALTRI BENI ST</v>
      </c>
      <c r="E1547" s="13" t="str">
        <f>"TRA.NA.I. SRL"</f>
        <v>TRA.NA.I. SRL</v>
      </c>
      <c r="F1547" s="13" t="s">
        <v>22</v>
      </c>
      <c r="G1547" s="15">
        <v>329.68</v>
      </c>
    </row>
    <row r="1548" spans="1:7" ht="22.5" x14ac:dyDescent="0.25">
      <c r="A1548" s="13">
        <v>13906</v>
      </c>
      <c r="B1548" s="14">
        <v>43434.679699074077</v>
      </c>
      <c r="C1548" s="13" t="s">
        <v>10</v>
      </c>
      <c r="D1548" s="13" t="str">
        <f>"MATERIALE PROTESICO"</f>
        <v>MATERIALE PROTESICO</v>
      </c>
      <c r="E1548" s="13" t="str">
        <f>"TORNIER SRL Societa Unipersonale"</f>
        <v>TORNIER SRL Societa Unipersonale</v>
      </c>
      <c r="F1548" s="13" t="s">
        <v>14</v>
      </c>
      <c r="G1548" s="15">
        <v>2739.5</v>
      </c>
    </row>
    <row r="1549" spans="1:7" ht="22.5" x14ac:dyDescent="0.25">
      <c r="A1549" s="13">
        <v>13907</v>
      </c>
      <c r="B1549" s="14">
        <v>43434.679699074077</v>
      </c>
      <c r="C1549" s="13" t="s">
        <v>10</v>
      </c>
      <c r="D1549" s="13" t="str">
        <f>"MATERIALE PROTESICO"</f>
        <v>MATERIALE PROTESICO</v>
      </c>
      <c r="E1549" s="13" t="str">
        <f>"TORNIER SRL Societa Unipersonale"</f>
        <v>TORNIER SRL Societa Unipersonale</v>
      </c>
      <c r="F1549" s="13" t="s">
        <v>14</v>
      </c>
      <c r="G1549" s="15">
        <v>2151</v>
      </c>
    </row>
    <row r="1550" spans="1:7" ht="22.5" x14ac:dyDescent="0.25">
      <c r="A1550" s="13">
        <v>13908</v>
      </c>
      <c r="B1550" s="14">
        <v>43434.679699074077</v>
      </c>
      <c r="C1550" s="13" t="s">
        <v>10</v>
      </c>
      <c r="D1550" s="13" t="str">
        <f>"MATERIALE PROTESICO"</f>
        <v>MATERIALE PROTESICO</v>
      </c>
      <c r="E1550" s="13" t="str">
        <f>"TORNIER SRL Societa Unipersonale"</f>
        <v>TORNIER SRL Societa Unipersonale</v>
      </c>
      <c r="F1550" s="13" t="s">
        <v>14</v>
      </c>
      <c r="G1550" s="15">
        <v>2119</v>
      </c>
    </row>
    <row r="1551" spans="1:7" ht="22.5" x14ac:dyDescent="0.25">
      <c r="A1551" s="13">
        <v>13909</v>
      </c>
      <c r="B1551" s="14">
        <v>43434.679699074077</v>
      </c>
      <c r="C1551" s="13" t="s">
        <v>10</v>
      </c>
      <c r="D1551" s="13" t="str">
        <f>"MATERIALE PROTESICO"</f>
        <v>MATERIALE PROTESICO</v>
      </c>
      <c r="E1551" s="13" t="str">
        <f>"TORNIER SRL Societa Unipersonale"</f>
        <v>TORNIER SRL Societa Unipersonale</v>
      </c>
      <c r="F1551" s="13" t="s">
        <v>14</v>
      </c>
      <c r="G1551" s="15">
        <v>1627.5</v>
      </c>
    </row>
    <row r="1552" spans="1:7" ht="22.5" x14ac:dyDescent="0.25">
      <c r="A1552" s="13">
        <v>13910</v>
      </c>
      <c r="B1552" s="14">
        <v>43434.679710648146</v>
      </c>
      <c r="C1552" s="13" t="s">
        <v>10</v>
      </c>
      <c r="D1552" s="13" t="str">
        <f>"ALTRI SERVIZI"</f>
        <v>ALTRI SERVIZI</v>
      </c>
      <c r="E1552" s="13" t="str">
        <f>"WINDEX SRL"</f>
        <v>WINDEX SRL</v>
      </c>
      <c r="F1552" s="13" t="str">
        <f>"ALTRE SPESE PER SERV.NON SANITARI"</f>
        <v>ALTRE SPESE PER SERV.NON SANITARI</v>
      </c>
      <c r="G1552" s="15">
        <v>6367</v>
      </c>
    </row>
    <row r="1553" spans="1:7" ht="22.5" x14ac:dyDescent="0.25">
      <c r="A1553" s="13">
        <v>13911</v>
      </c>
      <c r="B1553" s="14">
        <v>43434.679710648146</v>
      </c>
      <c r="C1553" s="13" t="s">
        <v>10</v>
      </c>
      <c r="D1553" s="13" t="str">
        <f t="shared" ref="D1553:D1561" si="109">"MATERIALE PROTESICO"</f>
        <v>MATERIALE PROTESICO</v>
      </c>
      <c r="E1553" s="13" t="str">
        <f t="shared" ref="E1553:E1561" si="110">"ZIMMER BIOMET ITALIA SRL"</f>
        <v>ZIMMER BIOMET ITALIA SRL</v>
      </c>
      <c r="F1553" s="13" t="s">
        <v>14</v>
      </c>
      <c r="G1553" s="15">
        <v>2662.37</v>
      </c>
    </row>
    <row r="1554" spans="1:7" ht="22.5" x14ac:dyDescent="0.25">
      <c r="A1554" s="13">
        <v>13912</v>
      </c>
      <c r="B1554" s="14">
        <v>43434.679710648146</v>
      </c>
      <c r="C1554" s="13" t="s">
        <v>10</v>
      </c>
      <c r="D1554" s="13" t="str">
        <f t="shared" si="109"/>
        <v>MATERIALE PROTESICO</v>
      </c>
      <c r="E1554" s="13" t="str">
        <f t="shared" si="110"/>
        <v>ZIMMER BIOMET ITALIA SRL</v>
      </c>
      <c r="F1554" s="13" t="s">
        <v>14</v>
      </c>
      <c r="G1554" s="15">
        <v>150</v>
      </c>
    </row>
    <row r="1555" spans="1:7" ht="22.5" x14ac:dyDescent="0.25">
      <c r="A1555" s="13">
        <v>13913</v>
      </c>
      <c r="B1555" s="14">
        <v>43434.679710648146</v>
      </c>
      <c r="C1555" s="13" t="s">
        <v>10</v>
      </c>
      <c r="D1555" s="13" t="str">
        <f t="shared" si="109"/>
        <v>MATERIALE PROTESICO</v>
      </c>
      <c r="E1555" s="13" t="str">
        <f t="shared" si="110"/>
        <v>ZIMMER BIOMET ITALIA SRL</v>
      </c>
      <c r="F1555" s="13" t="s">
        <v>14</v>
      </c>
      <c r="G1555" s="15">
        <v>1971</v>
      </c>
    </row>
    <row r="1556" spans="1:7" ht="22.5" x14ac:dyDescent="0.25">
      <c r="A1556" s="13">
        <v>13914</v>
      </c>
      <c r="B1556" s="14">
        <v>43434.679710648146</v>
      </c>
      <c r="C1556" s="13" t="s">
        <v>10</v>
      </c>
      <c r="D1556" s="13" t="str">
        <f t="shared" si="109"/>
        <v>MATERIALE PROTESICO</v>
      </c>
      <c r="E1556" s="13" t="str">
        <f t="shared" si="110"/>
        <v>ZIMMER BIOMET ITALIA SRL</v>
      </c>
      <c r="F1556" s="13" t="s">
        <v>14</v>
      </c>
      <c r="G1556" s="15">
        <v>996.8</v>
      </c>
    </row>
    <row r="1557" spans="1:7" ht="22.5" x14ac:dyDescent="0.25">
      <c r="A1557" s="13">
        <v>13915</v>
      </c>
      <c r="B1557" s="14">
        <v>43434.679710648146</v>
      </c>
      <c r="C1557" s="13" t="s">
        <v>10</v>
      </c>
      <c r="D1557" s="13" t="str">
        <f t="shared" si="109"/>
        <v>MATERIALE PROTESICO</v>
      </c>
      <c r="E1557" s="13" t="str">
        <f t="shared" si="110"/>
        <v>ZIMMER BIOMET ITALIA SRL</v>
      </c>
      <c r="F1557" s="13" t="s">
        <v>14</v>
      </c>
      <c r="G1557" s="15">
        <v>494.9</v>
      </c>
    </row>
    <row r="1558" spans="1:7" ht="22.5" x14ac:dyDescent="0.25">
      <c r="A1558" s="13">
        <v>13916</v>
      </c>
      <c r="B1558" s="14">
        <v>43434.679710648146</v>
      </c>
      <c r="C1558" s="13" t="s">
        <v>10</v>
      </c>
      <c r="D1558" s="13" t="str">
        <f t="shared" si="109"/>
        <v>MATERIALE PROTESICO</v>
      </c>
      <c r="E1558" s="13" t="str">
        <f t="shared" si="110"/>
        <v>ZIMMER BIOMET ITALIA SRL</v>
      </c>
      <c r="F1558" s="13" t="s">
        <v>14</v>
      </c>
      <c r="G1558" s="15">
        <v>1500</v>
      </c>
    </row>
    <row r="1559" spans="1:7" ht="22.5" x14ac:dyDescent="0.25">
      <c r="A1559" s="13">
        <v>13917</v>
      </c>
      <c r="B1559" s="14">
        <v>43434.679710648146</v>
      </c>
      <c r="C1559" s="13" t="s">
        <v>10</v>
      </c>
      <c r="D1559" s="13" t="str">
        <f t="shared" si="109"/>
        <v>MATERIALE PROTESICO</v>
      </c>
      <c r="E1559" s="13" t="str">
        <f t="shared" si="110"/>
        <v>ZIMMER BIOMET ITALIA SRL</v>
      </c>
      <c r="F1559" s="13" t="s">
        <v>14</v>
      </c>
      <c r="G1559" s="15">
        <v>509.6</v>
      </c>
    </row>
    <row r="1560" spans="1:7" ht="22.5" x14ac:dyDescent="0.25">
      <c r="A1560" s="13">
        <v>13918</v>
      </c>
      <c r="B1560" s="14">
        <v>43434.679710648146</v>
      </c>
      <c r="C1560" s="13" t="s">
        <v>10</v>
      </c>
      <c r="D1560" s="13" t="str">
        <f t="shared" si="109"/>
        <v>MATERIALE PROTESICO</v>
      </c>
      <c r="E1560" s="13" t="str">
        <f t="shared" si="110"/>
        <v>ZIMMER BIOMET ITALIA SRL</v>
      </c>
      <c r="F1560" s="13" t="s">
        <v>14</v>
      </c>
      <c r="G1560" s="15">
        <v>999.92</v>
      </c>
    </row>
    <row r="1561" spans="1:7" ht="22.5" x14ac:dyDescent="0.25">
      <c r="A1561" s="13">
        <v>13919</v>
      </c>
      <c r="B1561" s="14">
        <v>43434.679710648146</v>
      </c>
      <c r="C1561" s="13" t="s">
        <v>10</v>
      </c>
      <c r="D1561" s="13" t="str">
        <f t="shared" si="109"/>
        <v>MATERIALE PROTESICO</v>
      </c>
      <c r="E1561" s="13" t="str">
        <f t="shared" si="110"/>
        <v>ZIMMER BIOMET ITALIA SRL</v>
      </c>
      <c r="F1561" s="13" t="s">
        <v>14</v>
      </c>
      <c r="G1561" s="15">
        <v>1191.93</v>
      </c>
    </row>
    <row r="1562" spans="1:7" ht="22.5" x14ac:dyDescent="0.25">
      <c r="A1562" s="13">
        <v>13920</v>
      </c>
      <c r="B1562" s="14">
        <v>43434.679710648146</v>
      </c>
      <c r="C1562" s="13" t="s">
        <v>10</v>
      </c>
      <c r="D1562" s="13" t="str">
        <f>"PRODOTTI CHIMICI: MATERIALI DIAGNOSTICI (SENZA CND)"</f>
        <v>PRODOTTI CHIMICI: MATERIALI DIAGNOSTICI (SENZA CND)</v>
      </c>
      <c r="E1562" s="13" t="str">
        <f>"VWR INTERNATIONAL SRL"</f>
        <v>VWR INTERNATIONAL SRL</v>
      </c>
      <c r="F1562" s="13" t="s">
        <v>14</v>
      </c>
      <c r="G1562" s="15">
        <v>852</v>
      </c>
    </row>
    <row r="1563" spans="1:7" ht="22.5" x14ac:dyDescent="0.25">
      <c r="A1563" s="13">
        <v>13921</v>
      </c>
      <c r="B1563" s="14">
        <v>43434.679710648146</v>
      </c>
      <c r="C1563" s="13" t="s">
        <v>10</v>
      </c>
      <c r="D1563" s="13" t="str">
        <f>"PRODOTTI CHIMICI: MATERIALI DIAGNOSTICI (SENZA CND)"</f>
        <v>PRODOTTI CHIMICI: MATERIALI DIAGNOSTICI (SENZA CND)</v>
      </c>
      <c r="E1563" s="13" t="str">
        <f>"VWR INTERNATIONAL SRL"</f>
        <v>VWR INTERNATIONAL SRL</v>
      </c>
      <c r="F1563" s="13" t="s">
        <v>14</v>
      </c>
      <c r="G1563" s="15">
        <v>1305.5999999999999</v>
      </c>
    </row>
    <row r="1564" spans="1:7" ht="22.5" x14ac:dyDescent="0.25">
      <c r="A1564" s="13">
        <v>13922</v>
      </c>
      <c r="B1564" s="14">
        <v>43434.679722222223</v>
      </c>
      <c r="C1564" s="13" t="s">
        <v>10</v>
      </c>
      <c r="D1564" s="13" t="str">
        <f>"FARMACI FILE F"</f>
        <v>FARMACI FILE F</v>
      </c>
      <c r="E1564" s="13" t="str">
        <f>"SWEDISH ORPHAN BIOVITRUM SRL"</f>
        <v>SWEDISH ORPHAN BIOVITRUM SRL</v>
      </c>
      <c r="F1564" s="13" t="s">
        <v>14</v>
      </c>
      <c r="G1564" s="15">
        <v>1469.36</v>
      </c>
    </row>
    <row r="1565" spans="1:7" ht="22.5" x14ac:dyDescent="0.25">
      <c r="A1565" s="13">
        <v>13923</v>
      </c>
      <c r="B1565" s="14">
        <v>43434.679722222223</v>
      </c>
      <c r="C1565" s="13" t="s">
        <v>10</v>
      </c>
      <c r="D1565" s="13" t="str">
        <f>"FARMACI FILE F"</f>
        <v>FARMACI FILE F</v>
      </c>
      <c r="E1565" s="13" t="str">
        <f>"SWEDISH ORPHAN BIOVITRUM SRL"</f>
        <v>SWEDISH ORPHAN BIOVITRUM SRL</v>
      </c>
      <c r="F1565" s="13" t="s">
        <v>14</v>
      </c>
      <c r="G1565" s="15">
        <v>5877.45</v>
      </c>
    </row>
    <row r="1566" spans="1:7" ht="22.5" x14ac:dyDescent="0.25">
      <c r="A1566" s="13">
        <v>13924</v>
      </c>
      <c r="B1566" s="14">
        <v>43434.679722222223</v>
      </c>
      <c r="C1566" s="13" t="s">
        <v>10</v>
      </c>
      <c r="D1566" s="13" t="str">
        <f t="shared" ref="D1566:D1580" si="111">"MATERIALE PROTESICO"</f>
        <v>MATERIALE PROTESICO</v>
      </c>
      <c r="E1566" s="13" t="str">
        <f t="shared" ref="E1566:E1580" si="112">"ZIMMER BIOMET ITALIA SRL"</f>
        <v>ZIMMER BIOMET ITALIA SRL</v>
      </c>
      <c r="F1566" s="13" t="s">
        <v>14</v>
      </c>
      <c r="G1566" s="15">
        <v>2608</v>
      </c>
    </row>
    <row r="1567" spans="1:7" ht="22.5" x14ac:dyDescent="0.25">
      <c r="A1567" s="13">
        <v>13925</v>
      </c>
      <c r="B1567" s="14">
        <v>43434.679722222223</v>
      </c>
      <c r="C1567" s="13" t="s">
        <v>10</v>
      </c>
      <c r="D1567" s="13" t="str">
        <f t="shared" si="111"/>
        <v>MATERIALE PROTESICO</v>
      </c>
      <c r="E1567" s="13" t="str">
        <f t="shared" si="112"/>
        <v>ZIMMER BIOMET ITALIA SRL</v>
      </c>
      <c r="F1567" s="13" t="s">
        <v>14</v>
      </c>
      <c r="G1567" s="15">
        <v>543.9</v>
      </c>
    </row>
    <row r="1568" spans="1:7" ht="22.5" x14ac:dyDescent="0.25">
      <c r="A1568" s="13">
        <v>13926</v>
      </c>
      <c r="B1568" s="14">
        <v>43434.679722222223</v>
      </c>
      <c r="C1568" s="13" t="s">
        <v>10</v>
      </c>
      <c r="D1568" s="13" t="str">
        <f t="shared" si="111"/>
        <v>MATERIALE PROTESICO</v>
      </c>
      <c r="E1568" s="13" t="str">
        <f t="shared" si="112"/>
        <v>ZIMMER BIOMET ITALIA SRL</v>
      </c>
      <c r="F1568" s="13" t="s">
        <v>14</v>
      </c>
      <c r="G1568" s="15">
        <v>2608</v>
      </c>
    </row>
    <row r="1569" spans="1:7" ht="22.5" x14ac:dyDescent="0.25">
      <c r="A1569" s="13">
        <v>13927</v>
      </c>
      <c r="B1569" s="14">
        <v>43434.679722222223</v>
      </c>
      <c r="C1569" s="13" t="s">
        <v>10</v>
      </c>
      <c r="D1569" s="13" t="str">
        <f t="shared" si="111"/>
        <v>MATERIALE PROTESICO</v>
      </c>
      <c r="E1569" s="13" t="str">
        <f t="shared" si="112"/>
        <v>ZIMMER BIOMET ITALIA SRL</v>
      </c>
      <c r="F1569" s="13" t="s">
        <v>14</v>
      </c>
      <c r="G1569" s="15">
        <v>460.6</v>
      </c>
    </row>
    <row r="1570" spans="1:7" ht="22.5" x14ac:dyDescent="0.25">
      <c r="A1570" s="13">
        <v>13928</v>
      </c>
      <c r="B1570" s="14">
        <v>43434.679722222223</v>
      </c>
      <c r="C1570" s="13" t="s">
        <v>10</v>
      </c>
      <c r="D1570" s="13" t="str">
        <f t="shared" si="111"/>
        <v>MATERIALE PROTESICO</v>
      </c>
      <c r="E1570" s="13" t="str">
        <f t="shared" si="112"/>
        <v>ZIMMER BIOMET ITALIA SRL</v>
      </c>
      <c r="F1570" s="13" t="s">
        <v>14</v>
      </c>
      <c r="G1570" s="15">
        <v>1420</v>
      </c>
    </row>
    <row r="1571" spans="1:7" ht="22.5" x14ac:dyDescent="0.25">
      <c r="A1571" s="13">
        <v>13929</v>
      </c>
      <c r="B1571" s="14">
        <v>43434.679722222223</v>
      </c>
      <c r="C1571" s="13" t="s">
        <v>10</v>
      </c>
      <c r="D1571" s="13" t="str">
        <f t="shared" si="111"/>
        <v>MATERIALE PROTESICO</v>
      </c>
      <c r="E1571" s="13" t="str">
        <f t="shared" si="112"/>
        <v>ZIMMER BIOMET ITALIA SRL</v>
      </c>
      <c r="F1571" s="13" t="s">
        <v>14</v>
      </c>
      <c r="G1571" s="15">
        <v>1420</v>
      </c>
    </row>
    <row r="1572" spans="1:7" ht="22.5" x14ac:dyDescent="0.25">
      <c r="A1572" s="13">
        <v>13930</v>
      </c>
      <c r="B1572" s="14">
        <v>43434.679722222223</v>
      </c>
      <c r="C1572" s="13" t="s">
        <v>10</v>
      </c>
      <c r="D1572" s="13" t="str">
        <f t="shared" si="111"/>
        <v>MATERIALE PROTESICO</v>
      </c>
      <c r="E1572" s="13" t="str">
        <f t="shared" si="112"/>
        <v>ZIMMER BIOMET ITALIA SRL</v>
      </c>
      <c r="F1572" s="13" t="s">
        <v>14</v>
      </c>
      <c r="G1572" s="15">
        <v>460.6</v>
      </c>
    </row>
    <row r="1573" spans="1:7" ht="22.5" x14ac:dyDescent="0.25">
      <c r="A1573" s="13">
        <v>13931</v>
      </c>
      <c r="B1573" s="14">
        <v>43434.679722222223</v>
      </c>
      <c r="C1573" s="13" t="s">
        <v>10</v>
      </c>
      <c r="D1573" s="13" t="str">
        <f t="shared" si="111"/>
        <v>MATERIALE PROTESICO</v>
      </c>
      <c r="E1573" s="13" t="str">
        <f t="shared" si="112"/>
        <v>ZIMMER BIOMET ITALIA SRL</v>
      </c>
      <c r="F1573" s="13" t="s">
        <v>14</v>
      </c>
      <c r="G1573" s="15">
        <v>460.6</v>
      </c>
    </row>
    <row r="1574" spans="1:7" ht="22.5" x14ac:dyDescent="0.25">
      <c r="A1574" s="13">
        <v>13932</v>
      </c>
      <c r="B1574" s="14">
        <v>43434.679722222223</v>
      </c>
      <c r="C1574" s="13" t="s">
        <v>10</v>
      </c>
      <c r="D1574" s="13" t="str">
        <f t="shared" si="111"/>
        <v>MATERIALE PROTESICO</v>
      </c>
      <c r="E1574" s="13" t="str">
        <f t="shared" si="112"/>
        <v>ZIMMER BIOMET ITALIA SRL</v>
      </c>
      <c r="F1574" s="13" t="s">
        <v>14</v>
      </c>
      <c r="G1574" s="15">
        <v>460.6</v>
      </c>
    </row>
    <row r="1575" spans="1:7" ht="22.5" x14ac:dyDescent="0.25">
      <c r="A1575" s="13">
        <v>13933</v>
      </c>
      <c r="B1575" s="14">
        <v>43434.679722222223</v>
      </c>
      <c r="C1575" s="13" t="s">
        <v>10</v>
      </c>
      <c r="D1575" s="13" t="str">
        <f t="shared" si="111"/>
        <v>MATERIALE PROTESICO</v>
      </c>
      <c r="E1575" s="13" t="str">
        <f t="shared" si="112"/>
        <v>ZIMMER BIOMET ITALIA SRL</v>
      </c>
      <c r="F1575" s="13" t="s">
        <v>14</v>
      </c>
      <c r="G1575" s="15">
        <v>460.6</v>
      </c>
    </row>
    <row r="1576" spans="1:7" ht="22.5" x14ac:dyDescent="0.25">
      <c r="A1576" s="13">
        <v>13934</v>
      </c>
      <c r="B1576" s="14">
        <v>43434.679722222223</v>
      </c>
      <c r="C1576" s="13" t="s">
        <v>10</v>
      </c>
      <c r="D1576" s="13" t="str">
        <f t="shared" si="111"/>
        <v>MATERIALE PROTESICO</v>
      </c>
      <c r="E1576" s="13" t="str">
        <f t="shared" si="112"/>
        <v>ZIMMER BIOMET ITALIA SRL</v>
      </c>
      <c r="F1576" s="13" t="s">
        <v>14</v>
      </c>
      <c r="G1576" s="15">
        <v>543.9</v>
      </c>
    </row>
    <row r="1577" spans="1:7" ht="22.5" x14ac:dyDescent="0.25">
      <c r="A1577" s="13">
        <v>13935</v>
      </c>
      <c r="B1577" s="14">
        <v>43434.679722222223</v>
      </c>
      <c r="C1577" s="13" t="s">
        <v>10</v>
      </c>
      <c r="D1577" s="13" t="str">
        <f t="shared" si="111"/>
        <v>MATERIALE PROTESICO</v>
      </c>
      <c r="E1577" s="13" t="str">
        <f t="shared" si="112"/>
        <v>ZIMMER BIOMET ITALIA SRL</v>
      </c>
      <c r="F1577" s="13" t="s">
        <v>14</v>
      </c>
      <c r="G1577" s="15">
        <v>460.6</v>
      </c>
    </row>
    <row r="1578" spans="1:7" ht="22.5" x14ac:dyDescent="0.25">
      <c r="A1578" s="13">
        <v>13936</v>
      </c>
      <c r="B1578" s="14">
        <v>43434.679722222223</v>
      </c>
      <c r="C1578" s="13" t="s">
        <v>10</v>
      </c>
      <c r="D1578" s="13" t="str">
        <f t="shared" si="111"/>
        <v>MATERIALE PROTESICO</v>
      </c>
      <c r="E1578" s="13" t="str">
        <f t="shared" si="112"/>
        <v>ZIMMER BIOMET ITALIA SRL</v>
      </c>
      <c r="F1578" s="13" t="s">
        <v>14</v>
      </c>
      <c r="G1578" s="15">
        <v>460.6</v>
      </c>
    </row>
    <row r="1579" spans="1:7" ht="22.5" x14ac:dyDescent="0.25">
      <c r="A1579" s="13">
        <v>13937</v>
      </c>
      <c r="B1579" s="14">
        <v>43434.679722222223</v>
      </c>
      <c r="C1579" s="13" t="s">
        <v>10</v>
      </c>
      <c r="D1579" s="13" t="str">
        <f t="shared" si="111"/>
        <v>MATERIALE PROTESICO</v>
      </c>
      <c r="E1579" s="13" t="str">
        <f t="shared" si="112"/>
        <v>ZIMMER BIOMET ITALIA SRL</v>
      </c>
      <c r="F1579" s="13" t="s">
        <v>14</v>
      </c>
      <c r="G1579" s="15">
        <v>1971</v>
      </c>
    </row>
    <row r="1580" spans="1:7" ht="22.5" x14ac:dyDescent="0.25">
      <c r="A1580" s="13">
        <v>13938</v>
      </c>
      <c r="B1580" s="14">
        <v>43434.679722222223</v>
      </c>
      <c r="C1580" s="13" t="s">
        <v>10</v>
      </c>
      <c r="D1580" s="13" t="str">
        <f t="shared" si="111"/>
        <v>MATERIALE PROTESICO</v>
      </c>
      <c r="E1580" s="13" t="str">
        <f t="shared" si="112"/>
        <v>ZIMMER BIOMET ITALIA SRL</v>
      </c>
      <c r="F1580" s="13" t="s">
        <v>14</v>
      </c>
      <c r="G1580" s="15">
        <v>1971</v>
      </c>
    </row>
    <row r="1581" spans="1:7" ht="22.5" x14ac:dyDescent="0.25">
      <c r="A1581" s="13">
        <v>13939</v>
      </c>
      <c r="B1581" s="14">
        <v>43434.679722222223</v>
      </c>
      <c r="C1581" s="13" t="s">
        <v>10</v>
      </c>
      <c r="D1581" s="13" t="str">
        <f>"PRESIDI MEDICO-CHIRURGICI SPECIALISTICI R"</f>
        <v>PRESIDI MEDICO-CHIRURGICI SPECIALISTICI R</v>
      </c>
      <c r="E1581" s="13" t="str">
        <f>"TELEFLEX MEDICAL SRL Società Unipersonale"</f>
        <v>TELEFLEX MEDICAL SRL Società Unipersonale</v>
      </c>
      <c r="F1581" s="13" t="s">
        <v>14</v>
      </c>
      <c r="G1581" s="15">
        <v>458</v>
      </c>
    </row>
    <row r="1582" spans="1:7" ht="22.5" x14ac:dyDescent="0.25">
      <c r="A1582" s="13">
        <v>13940</v>
      </c>
      <c r="B1582" s="14">
        <v>43434.6797337963</v>
      </c>
      <c r="C1582" s="13" t="s">
        <v>10</v>
      </c>
      <c r="D1582" s="13" t="str">
        <f>"FT RIC TEOFARMA SRL"</f>
        <v>FT RIC TEOFARMA SRL</v>
      </c>
      <c r="E1582" s="13" t="str">
        <f>"TEOFARMA SRL"</f>
        <v>TEOFARMA SRL</v>
      </c>
      <c r="F1582" s="13" t="s">
        <v>14</v>
      </c>
      <c r="G1582" s="15">
        <v>-141.75</v>
      </c>
    </row>
    <row r="1583" spans="1:7" ht="22.5" x14ac:dyDescent="0.25">
      <c r="A1583" s="13">
        <v>13941</v>
      </c>
      <c r="B1583" s="14">
        <v>43434.6797337963</v>
      </c>
      <c r="C1583" s="13" t="s">
        <v>10</v>
      </c>
      <c r="D1583" s="13" t="str">
        <f>"PRODOTTI FARMACEUTICI CON AIC"</f>
        <v>PRODOTTI FARMACEUTICI CON AIC</v>
      </c>
      <c r="E1583" s="13" t="str">
        <f>"TEOFARMA SRL"</f>
        <v>TEOFARMA SRL</v>
      </c>
      <c r="F1583" s="13" t="s">
        <v>14</v>
      </c>
      <c r="G1583" s="15">
        <v>347.45</v>
      </c>
    </row>
    <row r="1584" spans="1:7" ht="22.5" x14ac:dyDescent="0.25">
      <c r="A1584" s="13">
        <v>13942</v>
      </c>
      <c r="B1584" s="14">
        <v>43437.426319444443</v>
      </c>
      <c r="C1584" s="13" t="s">
        <v>10</v>
      </c>
      <c r="D1584" s="13" t="str">
        <f>"PRODOTTI FARMACEUTICI CON AIC"</f>
        <v>PRODOTTI FARMACEUTICI CON AIC</v>
      </c>
      <c r="E1584" s="13" t="str">
        <f>"ITALFARMACO SPA"</f>
        <v>ITALFARMACO SPA</v>
      </c>
      <c r="F1584" s="13" t="s">
        <v>14</v>
      </c>
      <c r="G1584" s="15">
        <v>11260.29</v>
      </c>
    </row>
    <row r="1585" spans="1:7" ht="22.5" x14ac:dyDescent="0.25">
      <c r="A1585" s="13">
        <v>13943</v>
      </c>
      <c r="B1585" s="14">
        <v>43437.433113425926</v>
      </c>
      <c r="C1585" s="13" t="s">
        <v>10</v>
      </c>
      <c r="D1585" s="13" t="str">
        <f t="shared" ref="D1585:D1615" si="113">"MATERIALE PROTESICO"</f>
        <v>MATERIALE PROTESICO</v>
      </c>
      <c r="E1585" s="13" t="str">
        <f t="shared" ref="E1585:E1618" si="114">"JOHNSON &amp; JOHNSON MEDICAL SPA"</f>
        <v>JOHNSON &amp; JOHNSON MEDICAL SPA</v>
      </c>
      <c r="F1585" s="13" t="s">
        <v>14</v>
      </c>
      <c r="G1585" s="15">
        <v>1361.52</v>
      </c>
    </row>
    <row r="1586" spans="1:7" ht="22.5" x14ac:dyDescent="0.25">
      <c r="A1586" s="13">
        <v>13944</v>
      </c>
      <c r="B1586" s="14">
        <v>43437.433356481481</v>
      </c>
      <c r="C1586" s="13" t="s">
        <v>10</v>
      </c>
      <c r="D1586" s="13" t="str">
        <f t="shared" si="113"/>
        <v>MATERIALE PROTESICO</v>
      </c>
      <c r="E1586" s="13" t="str">
        <f t="shared" si="114"/>
        <v>JOHNSON &amp; JOHNSON MEDICAL SPA</v>
      </c>
      <c r="F1586" s="13" t="s">
        <v>14</v>
      </c>
      <c r="G1586" s="15">
        <v>187.92</v>
      </c>
    </row>
    <row r="1587" spans="1:7" ht="22.5" x14ac:dyDescent="0.25">
      <c r="A1587" s="13">
        <v>13945</v>
      </c>
      <c r="B1587" s="14">
        <v>43437.43346064815</v>
      </c>
      <c r="C1587" s="13" t="s">
        <v>10</v>
      </c>
      <c r="D1587" s="13" t="str">
        <f t="shared" si="113"/>
        <v>MATERIALE PROTESICO</v>
      </c>
      <c r="E1587" s="13" t="str">
        <f t="shared" si="114"/>
        <v>JOHNSON &amp; JOHNSON MEDICAL SPA</v>
      </c>
      <c r="F1587" s="13" t="s">
        <v>14</v>
      </c>
      <c r="G1587" s="15">
        <v>48.24</v>
      </c>
    </row>
    <row r="1588" spans="1:7" ht="22.5" x14ac:dyDescent="0.25">
      <c r="A1588" s="13">
        <v>13946</v>
      </c>
      <c r="B1588" s="14">
        <v>43437.433530092596</v>
      </c>
      <c r="C1588" s="13" t="s">
        <v>10</v>
      </c>
      <c r="D1588" s="13" t="str">
        <f t="shared" si="113"/>
        <v>MATERIALE PROTESICO</v>
      </c>
      <c r="E1588" s="13" t="str">
        <f t="shared" si="114"/>
        <v>JOHNSON &amp; JOHNSON MEDICAL SPA</v>
      </c>
      <c r="F1588" s="13" t="s">
        <v>14</v>
      </c>
      <c r="G1588" s="15">
        <v>60.48</v>
      </c>
    </row>
    <row r="1589" spans="1:7" ht="22.5" x14ac:dyDescent="0.25">
      <c r="A1589" s="13">
        <v>13947</v>
      </c>
      <c r="B1589" s="14">
        <v>43437.433576388888</v>
      </c>
      <c r="C1589" s="13" t="s">
        <v>10</v>
      </c>
      <c r="D1589" s="13" t="str">
        <f t="shared" si="113"/>
        <v>MATERIALE PROTESICO</v>
      </c>
      <c r="E1589" s="13" t="str">
        <f t="shared" si="114"/>
        <v>JOHNSON &amp; JOHNSON MEDICAL SPA</v>
      </c>
      <c r="F1589" s="13" t="s">
        <v>14</v>
      </c>
      <c r="G1589" s="15">
        <v>1687.61</v>
      </c>
    </row>
    <row r="1590" spans="1:7" ht="22.5" x14ac:dyDescent="0.25">
      <c r="A1590" s="13">
        <v>13948</v>
      </c>
      <c r="B1590" s="14">
        <v>43437.433634259258</v>
      </c>
      <c r="C1590" s="13" t="s">
        <v>10</v>
      </c>
      <c r="D1590" s="13" t="str">
        <f t="shared" si="113"/>
        <v>MATERIALE PROTESICO</v>
      </c>
      <c r="E1590" s="13" t="str">
        <f t="shared" si="114"/>
        <v>JOHNSON &amp; JOHNSON MEDICAL SPA</v>
      </c>
      <c r="F1590" s="13" t="s">
        <v>14</v>
      </c>
      <c r="G1590" s="15">
        <v>42.24</v>
      </c>
    </row>
    <row r="1591" spans="1:7" ht="22.5" x14ac:dyDescent="0.25">
      <c r="A1591" s="13">
        <v>13949</v>
      </c>
      <c r="B1591" s="14">
        <v>43437.433680555558</v>
      </c>
      <c r="C1591" s="13" t="s">
        <v>10</v>
      </c>
      <c r="D1591" s="13" t="str">
        <f t="shared" si="113"/>
        <v>MATERIALE PROTESICO</v>
      </c>
      <c r="E1591" s="13" t="str">
        <f t="shared" si="114"/>
        <v>JOHNSON &amp; JOHNSON MEDICAL SPA</v>
      </c>
      <c r="F1591" s="13" t="s">
        <v>14</v>
      </c>
      <c r="G1591" s="15">
        <v>531.34</v>
      </c>
    </row>
    <row r="1592" spans="1:7" ht="22.5" x14ac:dyDescent="0.25">
      <c r="A1592" s="13">
        <v>13950</v>
      </c>
      <c r="B1592" s="14">
        <v>43437.43372685185</v>
      </c>
      <c r="C1592" s="13" t="s">
        <v>10</v>
      </c>
      <c r="D1592" s="13" t="str">
        <f t="shared" si="113"/>
        <v>MATERIALE PROTESICO</v>
      </c>
      <c r="E1592" s="13" t="str">
        <f t="shared" si="114"/>
        <v>JOHNSON &amp; JOHNSON MEDICAL SPA</v>
      </c>
      <c r="F1592" s="13" t="s">
        <v>14</v>
      </c>
      <c r="G1592" s="15">
        <v>187.92</v>
      </c>
    </row>
    <row r="1593" spans="1:7" ht="22.5" x14ac:dyDescent="0.25">
      <c r="A1593" s="13">
        <v>13951</v>
      </c>
      <c r="B1593" s="14">
        <v>43437.43377314815</v>
      </c>
      <c r="C1593" s="13" t="s">
        <v>10</v>
      </c>
      <c r="D1593" s="13" t="str">
        <f t="shared" si="113"/>
        <v>MATERIALE PROTESICO</v>
      </c>
      <c r="E1593" s="13" t="str">
        <f t="shared" si="114"/>
        <v>JOHNSON &amp; JOHNSON MEDICAL SPA</v>
      </c>
      <c r="F1593" s="13" t="s">
        <v>14</v>
      </c>
      <c r="G1593" s="15">
        <v>610.91</v>
      </c>
    </row>
    <row r="1594" spans="1:7" ht="22.5" x14ac:dyDescent="0.25">
      <c r="A1594" s="13">
        <v>13952</v>
      </c>
      <c r="B1594" s="14">
        <v>43437.433819444443</v>
      </c>
      <c r="C1594" s="13" t="s">
        <v>10</v>
      </c>
      <c r="D1594" s="13" t="str">
        <f t="shared" si="113"/>
        <v>MATERIALE PROTESICO</v>
      </c>
      <c r="E1594" s="13" t="str">
        <f t="shared" si="114"/>
        <v>JOHNSON &amp; JOHNSON MEDICAL SPA</v>
      </c>
      <c r="F1594" s="13" t="s">
        <v>14</v>
      </c>
      <c r="G1594" s="15">
        <v>610.91</v>
      </c>
    </row>
    <row r="1595" spans="1:7" ht="22.5" x14ac:dyDescent="0.25">
      <c r="A1595" s="13">
        <v>13953</v>
      </c>
      <c r="B1595" s="14">
        <v>43437.433877314812</v>
      </c>
      <c r="C1595" s="13" t="s">
        <v>10</v>
      </c>
      <c r="D1595" s="13" t="str">
        <f t="shared" si="113"/>
        <v>MATERIALE PROTESICO</v>
      </c>
      <c r="E1595" s="13" t="str">
        <f t="shared" si="114"/>
        <v>JOHNSON &amp; JOHNSON MEDICAL SPA</v>
      </c>
      <c r="F1595" s="13" t="s">
        <v>14</v>
      </c>
      <c r="G1595" s="15">
        <v>20.149999999999999</v>
      </c>
    </row>
    <row r="1596" spans="1:7" ht="22.5" x14ac:dyDescent="0.25">
      <c r="A1596" s="13">
        <v>13954</v>
      </c>
      <c r="B1596" s="14">
        <v>43437.433923611112</v>
      </c>
      <c r="C1596" s="13" t="s">
        <v>10</v>
      </c>
      <c r="D1596" s="13" t="str">
        <f t="shared" si="113"/>
        <v>MATERIALE PROTESICO</v>
      </c>
      <c r="E1596" s="13" t="str">
        <f t="shared" si="114"/>
        <v>JOHNSON &amp; JOHNSON MEDICAL SPA</v>
      </c>
      <c r="F1596" s="13" t="s">
        <v>14</v>
      </c>
      <c r="G1596" s="15">
        <v>877.57</v>
      </c>
    </row>
    <row r="1597" spans="1:7" ht="22.5" x14ac:dyDescent="0.25">
      <c r="A1597" s="13">
        <v>13955</v>
      </c>
      <c r="B1597" s="14">
        <v>43437.433981481481</v>
      </c>
      <c r="C1597" s="13" t="s">
        <v>10</v>
      </c>
      <c r="D1597" s="13" t="str">
        <f t="shared" si="113"/>
        <v>MATERIALE PROTESICO</v>
      </c>
      <c r="E1597" s="13" t="str">
        <f t="shared" si="114"/>
        <v>JOHNSON &amp; JOHNSON MEDICAL SPA</v>
      </c>
      <c r="F1597" s="13" t="s">
        <v>14</v>
      </c>
      <c r="G1597" s="15">
        <v>479.52</v>
      </c>
    </row>
    <row r="1598" spans="1:7" ht="22.5" x14ac:dyDescent="0.25">
      <c r="A1598" s="13">
        <v>13956</v>
      </c>
      <c r="B1598" s="14">
        <v>43437.434016203704</v>
      </c>
      <c r="C1598" s="13" t="s">
        <v>10</v>
      </c>
      <c r="D1598" s="13" t="str">
        <f t="shared" si="113"/>
        <v>MATERIALE PROTESICO</v>
      </c>
      <c r="E1598" s="13" t="str">
        <f t="shared" si="114"/>
        <v>JOHNSON &amp; JOHNSON MEDICAL SPA</v>
      </c>
      <c r="F1598" s="13" t="s">
        <v>14</v>
      </c>
      <c r="G1598" s="15">
        <v>794.88</v>
      </c>
    </row>
    <row r="1599" spans="1:7" ht="22.5" x14ac:dyDescent="0.25">
      <c r="A1599" s="13">
        <v>13957</v>
      </c>
      <c r="B1599" s="14">
        <v>43437.434062499997</v>
      </c>
      <c r="C1599" s="13" t="s">
        <v>10</v>
      </c>
      <c r="D1599" s="13" t="str">
        <f t="shared" si="113"/>
        <v>MATERIALE PROTESICO</v>
      </c>
      <c r="E1599" s="13" t="str">
        <f t="shared" si="114"/>
        <v>JOHNSON &amp; JOHNSON MEDICAL SPA</v>
      </c>
      <c r="F1599" s="13" t="s">
        <v>14</v>
      </c>
      <c r="G1599" s="15">
        <v>57.6</v>
      </c>
    </row>
    <row r="1600" spans="1:7" ht="22.5" x14ac:dyDescent="0.25">
      <c r="A1600" s="13">
        <v>13958</v>
      </c>
      <c r="B1600" s="14">
        <v>43437.434108796297</v>
      </c>
      <c r="C1600" s="13" t="s">
        <v>10</v>
      </c>
      <c r="D1600" s="13" t="str">
        <f t="shared" si="113"/>
        <v>MATERIALE PROTESICO</v>
      </c>
      <c r="E1600" s="13" t="str">
        <f t="shared" si="114"/>
        <v>JOHNSON &amp; JOHNSON MEDICAL SPA</v>
      </c>
      <c r="F1600" s="13" t="s">
        <v>14</v>
      </c>
      <c r="G1600" s="15">
        <v>60.45</v>
      </c>
    </row>
    <row r="1601" spans="1:7" ht="22.5" x14ac:dyDescent="0.25">
      <c r="A1601" s="13">
        <v>13959</v>
      </c>
      <c r="B1601" s="14">
        <v>43437.434178240743</v>
      </c>
      <c r="C1601" s="13" t="s">
        <v>10</v>
      </c>
      <c r="D1601" s="13" t="str">
        <f t="shared" si="113"/>
        <v>MATERIALE PROTESICO</v>
      </c>
      <c r="E1601" s="13" t="str">
        <f t="shared" si="114"/>
        <v>JOHNSON &amp; JOHNSON MEDICAL SPA</v>
      </c>
      <c r="F1601" s="13" t="s">
        <v>14</v>
      </c>
      <c r="G1601" s="15">
        <v>7</v>
      </c>
    </row>
    <row r="1602" spans="1:7" ht="22.5" x14ac:dyDescent="0.25">
      <c r="A1602" s="13">
        <v>13960</v>
      </c>
      <c r="B1602" s="14">
        <v>43437.434178240743</v>
      </c>
      <c r="C1602" s="13" t="s">
        <v>10</v>
      </c>
      <c r="D1602" s="13" t="str">
        <f t="shared" si="113"/>
        <v>MATERIALE PROTESICO</v>
      </c>
      <c r="E1602" s="13" t="str">
        <f t="shared" si="114"/>
        <v>JOHNSON &amp; JOHNSON MEDICAL SPA</v>
      </c>
      <c r="F1602" s="13" t="s">
        <v>14</v>
      </c>
      <c r="G1602" s="15">
        <v>7</v>
      </c>
    </row>
    <row r="1603" spans="1:7" ht="22.5" x14ac:dyDescent="0.25">
      <c r="A1603" s="13">
        <v>13961</v>
      </c>
      <c r="B1603" s="14">
        <v>43437.434178240743</v>
      </c>
      <c r="C1603" s="13" t="s">
        <v>10</v>
      </c>
      <c r="D1603" s="13" t="str">
        <f t="shared" si="113"/>
        <v>MATERIALE PROTESICO</v>
      </c>
      <c r="E1603" s="13" t="str">
        <f t="shared" si="114"/>
        <v>JOHNSON &amp; JOHNSON MEDICAL SPA</v>
      </c>
      <c r="F1603" s="13" t="s">
        <v>14</v>
      </c>
      <c r="G1603" s="15">
        <v>14</v>
      </c>
    </row>
    <row r="1604" spans="1:7" ht="22.5" x14ac:dyDescent="0.25">
      <c r="A1604" s="13">
        <v>13962</v>
      </c>
      <c r="B1604" s="14">
        <v>43437.434178240743</v>
      </c>
      <c r="C1604" s="13" t="s">
        <v>10</v>
      </c>
      <c r="D1604" s="13" t="str">
        <f t="shared" si="113"/>
        <v>MATERIALE PROTESICO</v>
      </c>
      <c r="E1604" s="13" t="str">
        <f t="shared" si="114"/>
        <v>JOHNSON &amp; JOHNSON MEDICAL SPA</v>
      </c>
      <c r="F1604" s="13" t="s">
        <v>14</v>
      </c>
      <c r="G1604" s="15">
        <v>7</v>
      </c>
    </row>
    <row r="1605" spans="1:7" ht="22.5" x14ac:dyDescent="0.25">
      <c r="A1605" s="13">
        <v>13963</v>
      </c>
      <c r="B1605" s="14">
        <v>43437.434178240743</v>
      </c>
      <c r="C1605" s="13" t="s">
        <v>10</v>
      </c>
      <c r="D1605" s="13" t="str">
        <f t="shared" si="113"/>
        <v>MATERIALE PROTESICO</v>
      </c>
      <c r="E1605" s="13" t="str">
        <f t="shared" si="114"/>
        <v>JOHNSON &amp; JOHNSON MEDICAL SPA</v>
      </c>
      <c r="F1605" s="13" t="s">
        <v>14</v>
      </c>
      <c r="G1605" s="15">
        <v>7</v>
      </c>
    </row>
    <row r="1606" spans="1:7" ht="22.5" x14ac:dyDescent="0.25">
      <c r="A1606" s="13">
        <v>13964</v>
      </c>
      <c r="B1606" s="14">
        <v>43437.434178240743</v>
      </c>
      <c r="C1606" s="13" t="s">
        <v>10</v>
      </c>
      <c r="D1606" s="13" t="str">
        <f t="shared" si="113"/>
        <v>MATERIALE PROTESICO</v>
      </c>
      <c r="E1606" s="13" t="str">
        <f t="shared" si="114"/>
        <v>JOHNSON &amp; JOHNSON MEDICAL SPA</v>
      </c>
      <c r="F1606" s="13" t="s">
        <v>14</v>
      </c>
      <c r="G1606" s="15">
        <v>14</v>
      </c>
    </row>
    <row r="1607" spans="1:7" ht="22.5" x14ac:dyDescent="0.25">
      <c r="A1607" s="13">
        <v>13965</v>
      </c>
      <c r="B1607" s="14">
        <v>43437.434178240743</v>
      </c>
      <c r="C1607" s="13" t="s">
        <v>10</v>
      </c>
      <c r="D1607" s="13" t="str">
        <f t="shared" si="113"/>
        <v>MATERIALE PROTESICO</v>
      </c>
      <c r="E1607" s="13" t="str">
        <f t="shared" si="114"/>
        <v>JOHNSON &amp; JOHNSON MEDICAL SPA</v>
      </c>
      <c r="F1607" s="13" t="s">
        <v>14</v>
      </c>
      <c r="G1607" s="15">
        <v>7</v>
      </c>
    </row>
    <row r="1608" spans="1:7" ht="22.5" x14ac:dyDescent="0.25">
      <c r="A1608" s="13">
        <v>13966</v>
      </c>
      <c r="B1608" s="14">
        <v>43437.434178240743</v>
      </c>
      <c r="C1608" s="13" t="s">
        <v>10</v>
      </c>
      <c r="D1608" s="13" t="str">
        <f t="shared" si="113"/>
        <v>MATERIALE PROTESICO</v>
      </c>
      <c r="E1608" s="13" t="str">
        <f t="shared" si="114"/>
        <v>JOHNSON &amp; JOHNSON MEDICAL SPA</v>
      </c>
      <c r="F1608" s="13" t="s">
        <v>14</v>
      </c>
      <c r="G1608" s="15">
        <v>7</v>
      </c>
    </row>
    <row r="1609" spans="1:7" ht="22.5" x14ac:dyDescent="0.25">
      <c r="A1609" s="13">
        <v>13967</v>
      </c>
      <c r="B1609" s="14">
        <v>43437.434178240743</v>
      </c>
      <c r="C1609" s="13" t="s">
        <v>10</v>
      </c>
      <c r="D1609" s="13" t="str">
        <f t="shared" si="113"/>
        <v>MATERIALE PROTESICO</v>
      </c>
      <c r="E1609" s="13" t="str">
        <f t="shared" si="114"/>
        <v>JOHNSON &amp; JOHNSON MEDICAL SPA</v>
      </c>
      <c r="F1609" s="13" t="s">
        <v>14</v>
      </c>
      <c r="G1609" s="15">
        <v>14</v>
      </c>
    </row>
    <row r="1610" spans="1:7" ht="22.5" x14ac:dyDescent="0.25">
      <c r="A1610" s="13">
        <v>13968</v>
      </c>
      <c r="B1610" s="14">
        <v>43437.434178240743</v>
      </c>
      <c r="C1610" s="13" t="s">
        <v>10</v>
      </c>
      <c r="D1610" s="13" t="str">
        <f t="shared" si="113"/>
        <v>MATERIALE PROTESICO</v>
      </c>
      <c r="E1610" s="13" t="str">
        <f t="shared" si="114"/>
        <v>JOHNSON &amp; JOHNSON MEDICAL SPA</v>
      </c>
      <c r="F1610" s="13" t="s">
        <v>14</v>
      </c>
      <c r="G1610" s="15">
        <v>7</v>
      </c>
    </row>
    <row r="1611" spans="1:7" ht="22.5" x14ac:dyDescent="0.25">
      <c r="A1611" s="13">
        <v>13969</v>
      </c>
      <c r="B1611" s="14">
        <v>43437.434224537035</v>
      </c>
      <c r="C1611" s="13" t="s">
        <v>10</v>
      </c>
      <c r="D1611" s="13" t="str">
        <f t="shared" si="113"/>
        <v>MATERIALE PROTESICO</v>
      </c>
      <c r="E1611" s="13" t="str">
        <f t="shared" si="114"/>
        <v>JOHNSON &amp; JOHNSON MEDICAL SPA</v>
      </c>
      <c r="F1611" s="13" t="s">
        <v>14</v>
      </c>
      <c r="G1611" s="15">
        <v>610.91</v>
      </c>
    </row>
    <row r="1612" spans="1:7" ht="22.5" x14ac:dyDescent="0.25">
      <c r="A1612" s="13">
        <v>13970</v>
      </c>
      <c r="B1612" s="14">
        <v>43437.434270833335</v>
      </c>
      <c r="C1612" s="13" t="s">
        <v>10</v>
      </c>
      <c r="D1612" s="13" t="str">
        <f t="shared" si="113"/>
        <v>MATERIALE PROTESICO</v>
      </c>
      <c r="E1612" s="13" t="str">
        <f t="shared" si="114"/>
        <v>JOHNSON &amp; JOHNSON MEDICAL SPA</v>
      </c>
      <c r="F1612" s="13" t="s">
        <v>14</v>
      </c>
      <c r="G1612" s="15">
        <v>610.91</v>
      </c>
    </row>
    <row r="1613" spans="1:7" ht="22.5" x14ac:dyDescent="0.25">
      <c r="A1613" s="13">
        <v>13971</v>
      </c>
      <c r="B1613" s="14">
        <v>43437.434537037036</v>
      </c>
      <c r="C1613" s="13" t="s">
        <v>10</v>
      </c>
      <c r="D1613" s="13" t="str">
        <f t="shared" si="113"/>
        <v>MATERIALE PROTESICO</v>
      </c>
      <c r="E1613" s="13" t="str">
        <f t="shared" si="114"/>
        <v>JOHNSON &amp; JOHNSON MEDICAL SPA</v>
      </c>
      <c r="F1613" s="13" t="s">
        <v>14</v>
      </c>
      <c r="G1613" s="15">
        <v>14</v>
      </c>
    </row>
    <row r="1614" spans="1:7" ht="22.5" x14ac:dyDescent="0.25">
      <c r="A1614" s="13">
        <v>13972</v>
      </c>
      <c r="B1614" s="14">
        <v>43437.434537037036</v>
      </c>
      <c r="C1614" s="13" t="s">
        <v>10</v>
      </c>
      <c r="D1614" s="13" t="str">
        <f t="shared" si="113"/>
        <v>MATERIALE PROTESICO</v>
      </c>
      <c r="E1614" s="13" t="str">
        <f t="shared" si="114"/>
        <v>JOHNSON &amp; JOHNSON MEDICAL SPA</v>
      </c>
      <c r="F1614" s="13" t="s">
        <v>14</v>
      </c>
      <c r="G1614" s="15">
        <v>360</v>
      </c>
    </row>
    <row r="1615" spans="1:7" ht="22.5" x14ac:dyDescent="0.25">
      <c r="A1615" s="13">
        <v>13973</v>
      </c>
      <c r="B1615" s="14">
        <v>43437.434583333335</v>
      </c>
      <c r="C1615" s="13" t="s">
        <v>10</v>
      </c>
      <c r="D1615" s="13" t="str">
        <f t="shared" si="113"/>
        <v>MATERIALE PROTESICO</v>
      </c>
      <c r="E1615" s="13" t="str">
        <f t="shared" si="114"/>
        <v>JOHNSON &amp; JOHNSON MEDICAL SPA</v>
      </c>
      <c r="F1615" s="13" t="s">
        <v>14</v>
      </c>
      <c r="G1615" s="15">
        <v>497.24</v>
      </c>
    </row>
    <row r="1616" spans="1:7" ht="22.5" x14ac:dyDescent="0.25">
      <c r="A1616" s="13">
        <v>13974</v>
      </c>
      <c r="B1616" s="14">
        <v>43437.434583333335</v>
      </c>
      <c r="C1616" s="13" t="s">
        <v>10</v>
      </c>
      <c r="D1616" s="13" t="str">
        <f>"STRUMENTARIO CHIRURGICO (K, L)"</f>
        <v>STRUMENTARIO CHIRURGICO (K, L)</v>
      </c>
      <c r="E1616" s="13" t="str">
        <f t="shared" si="114"/>
        <v>JOHNSON &amp; JOHNSON MEDICAL SPA</v>
      </c>
      <c r="F1616" s="13" t="s">
        <v>14</v>
      </c>
      <c r="G1616" s="15">
        <v>52.26</v>
      </c>
    </row>
    <row r="1617" spans="1:7" ht="22.5" x14ac:dyDescent="0.25">
      <c r="A1617" s="13">
        <v>13975</v>
      </c>
      <c r="B1617" s="14">
        <v>43437.434629629628</v>
      </c>
      <c r="C1617" s="13" t="s">
        <v>10</v>
      </c>
      <c r="D1617" s="13" t="str">
        <f>"MATERIALE PROTESICO"</f>
        <v>MATERIALE PROTESICO</v>
      </c>
      <c r="E1617" s="13" t="str">
        <f t="shared" si="114"/>
        <v>JOHNSON &amp; JOHNSON MEDICAL SPA</v>
      </c>
      <c r="F1617" s="13" t="s">
        <v>14</v>
      </c>
      <c r="G1617" s="15">
        <v>2884.97</v>
      </c>
    </row>
    <row r="1618" spans="1:7" ht="22.5" x14ac:dyDescent="0.25">
      <c r="A1618" s="13">
        <v>13976</v>
      </c>
      <c r="B1618" s="14">
        <v>43437.434687499997</v>
      </c>
      <c r="C1618" s="13" t="s">
        <v>10</v>
      </c>
      <c r="D1618" s="13" t="str">
        <f>"STRUMENTARIO CHIRURGICO (K, L)"</f>
        <v>STRUMENTARIO CHIRURGICO (K, L)</v>
      </c>
      <c r="E1618" s="13" t="str">
        <f t="shared" si="114"/>
        <v>JOHNSON &amp; JOHNSON MEDICAL SPA</v>
      </c>
      <c r="F1618" s="13" t="s">
        <v>14</v>
      </c>
      <c r="G1618" s="15">
        <v>109.17</v>
      </c>
    </row>
    <row r="1619" spans="1:7" ht="22.5" x14ac:dyDescent="0.25">
      <c r="A1619" s="13">
        <v>13977</v>
      </c>
      <c r="B1619" s="14">
        <v>43437.434733796297</v>
      </c>
      <c r="C1619" s="13" t="s">
        <v>10</v>
      </c>
      <c r="D1619" s="13" t="str">
        <f>"SOPRAVVENIENZE PASSIVE V/ASL-AO-IRCCS-POLICLINICI"</f>
        <v>SOPRAVVENIENZE PASSIVE V/ASL-AO-IRCCS-POLICLINICI</v>
      </c>
      <c r="E1619" s="13" t="str">
        <f t="shared" ref="E1619:E1644" si="115">"FONDAZIONE IRCCS  CA'  GRANDA - OSPEDALE MAGGIORE - POLICLINICO"</f>
        <v>FONDAZIONE IRCCS  CA'  GRANDA - OSPEDALE MAGGIORE - POLICLINICO</v>
      </c>
      <c r="F1619" s="13" t="s">
        <v>24</v>
      </c>
      <c r="G1619" s="15">
        <v>4628.66</v>
      </c>
    </row>
    <row r="1620" spans="1:7" ht="22.5" x14ac:dyDescent="0.25">
      <c r="A1620" s="13">
        <v>13978</v>
      </c>
      <c r="B1620" s="14">
        <v>43437.434733796297</v>
      </c>
      <c r="C1620" s="13" t="s">
        <v>10</v>
      </c>
      <c r="D1620" s="13" t="str">
        <f>"SOPRAVVENIENZE PASSIVE V/ASL-AO-IRCCS-POLICLINICI"</f>
        <v>SOPRAVVENIENZE PASSIVE V/ASL-AO-IRCCS-POLICLINICI</v>
      </c>
      <c r="E1620" s="13" t="str">
        <f t="shared" si="115"/>
        <v>FONDAZIONE IRCCS  CA'  GRANDA - OSPEDALE MAGGIORE - POLICLINICO</v>
      </c>
      <c r="F1620" s="13" t="s">
        <v>24</v>
      </c>
      <c r="G1620" s="15">
        <v>6327</v>
      </c>
    </row>
    <row r="1621" spans="1:7" ht="22.5" x14ac:dyDescent="0.25">
      <c r="A1621" s="13">
        <v>13979</v>
      </c>
      <c r="B1621" s="14">
        <v>43437.434733796297</v>
      </c>
      <c r="C1621" s="13" t="s">
        <v>10</v>
      </c>
      <c r="D1621" s="13" t="str">
        <f>"PRESTAZIONI SANITARIE DA ASST/ATS REGIONE"</f>
        <v>PRESTAZIONI SANITARIE DA ASST/ATS REGIONE</v>
      </c>
      <c r="E1621" s="13" t="str">
        <f t="shared" si="115"/>
        <v>FONDAZIONE IRCCS  CA'  GRANDA - OSPEDALE MAGGIORE - POLICLINICO</v>
      </c>
      <c r="F1621" s="13" t="s">
        <v>24</v>
      </c>
      <c r="G1621" s="15">
        <v>12824.5</v>
      </c>
    </row>
    <row r="1622" spans="1:7" ht="22.5" x14ac:dyDescent="0.25">
      <c r="A1622" s="13">
        <v>13980</v>
      </c>
      <c r="B1622" s="14">
        <v>43437.434733796297</v>
      </c>
      <c r="C1622" s="13" t="s">
        <v>10</v>
      </c>
      <c r="D1622" s="13" t="str">
        <f>"PRESTAZIONI SANITARIE DA ASST/ATS REGIONE"</f>
        <v>PRESTAZIONI SANITARIE DA ASST/ATS REGIONE</v>
      </c>
      <c r="E1622" s="13" t="str">
        <f t="shared" si="115"/>
        <v>FONDAZIONE IRCCS  CA'  GRANDA - OSPEDALE MAGGIORE - POLICLINICO</v>
      </c>
      <c r="F1622" s="13" t="s">
        <v>24</v>
      </c>
      <c r="G1622" s="15">
        <v>15354.5</v>
      </c>
    </row>
    <row r="1623" spans="1:7" ht="22.5" x14ac:dyDescent="0.25">
      <c r="A1623" s="13">
        <v>13981</v>
      </c>
      <c r="B1623" s="14">
        <v>43437.434733796297</v>
      </c>
      <c r="C1623" s="13" t="s">
        <v>10</v>
      </c>
      <c r="D1623" s="13" t="str">
        <f>"PRESTAZIONI SANITARIE DA ASST/ATS REGIONE"</f>
        <v>PRESTAZIONI SANITARIE DA ASST/ATS REGIONE</v>
      </c>
      <c r="E1623" s="13" t="str">
        <f t="shared" si="115"/>
        <v>FONDAZIONE IRCCS  CA'  GRANDA - OSPEDALE MAGGIORE - POLICLINICO</v>
      </c>
      <c r="F1623" s="13" t="s">
        <v>24</v>
      </c>
      <c r="G1623" s="15">
        <v>6327</v>
      </c>
    </row>
    <row r="1624" spans="1:7" ht="22.5" x14ac:dyDescent="0.25">
      <c r="A1624" s="13">
        <v>13982</v>
      </c>
      <c r="B1624" s="14">
        <v>43437.434733796297</v>
      </c>
      <c r="C1624" s="13" t="s">
        <v>10</v>
      </c>
      <c r="D1624" s="13" t="str">
        <f>"PRESTAZIONI SANITARIE DA ASST/ATS REGIONE"</f>
        <v>PRESTAZIONI SANITARIE DA ASST/ATS REGIONE</v>
      </c>
      <c r="E1624" s="13" t="str">
        <f t="shared" si="115"/>
        <v>FONDAZIONE IRCCS  CA'  GRANDA - OSPEDALE MAGGIORE - POLICLINICO</v>
      </c>
      <c r="F1624" s="13" t="s">
        <v>24</v>
      </c>
      <c r="G1624" s="15">
        <v>12422</v>
      </c>
    </row>
    <row r="1625" spans="1:7" ht="22.5" x14ac:dyDescent="0.25">
      <c r="A1625" s="13">
        <v>13983</v>
      </c>
      <c r="B1625" s="14">
        <v>43437.434733796297</v>
      </c>
      <c r="C1625" s="13" t="s">
        <v>10</v>
      </c>
      <c r="D1625" s="13" t="str">
        <f>"PRESTAZIONI SANITARIE DA ASST/ATS REGIONE"</f>
        <v>PRESTAZIONI SANITARIE DA ASST/ATS REGIONE</v>
      </c>
      <c r="E1625" s="13" t="str">
        <f t="shared" si="115"/>
        <v>FONDAZIONE IRCCS  CA'  GRANDA - OSPEDALE MAGGIORE - POLICLINICO</v>
      </c>
      <c r="F1625" s="13" t="s">
        <v>24</v>
      </c>
      <c r="G1625" s="15">
        <v>1472</v>
      </c>
    </row>
    <row r="1626" spans="1:7" ht="22.5" x14ac:dyDescent="0.25">
      <c r="A1626" s="13">
        <v>13984</v>
      </c>
      <c r="B1626" s="14">
        <v>43437.434733796297</v>
      </c>
      <c r="C1626" s="13" t="s">
        <v>10</v>
      </c>
      <c r="D1626" s="13" t="str">
        <f>"CONSULENZE SANITARIE ASST/ATS REGIONE"</f>
        <v>CONSULENZE SANITARIE ASST/ATS REGIONE</v>
      </c>
      <c r="E1626" s="13" t="str">
        <f t="shared" si="115"/>
        <v>FONDAZIONE IRCCS  CA'  GRANDA - OSPEDALE MAGGIORE - POLICLINICO</v>
      </c>
      <c r="F1626" s="13" t="s">
        <v>24</v>
      </c>
      <c r="G1626" s="15">
        <v>4628.66</v>
      </c>
    </row>
    <row r="1627" spans="1:7" ht="22.5" x14ac:dyDescent="0.25">
      <c r="A1627" s="13">
        <v>13985</v>
      </c>
      <c r="B1627" s="14">
        <v>43437.434733796297</v>
      </c>
      <c r="C1627" s="13" t="s">
        <v>10</v>
      </c>
      <c r="D1627" s="13" t="str">
        <f>"PRESTAZIONI SANITARIE DA ASST/ATS REGIONE"</f>
        <v>PRESTAZIONI SANITARIE DA ASST/ATS REGIONE</v>
      </c>
      <c r="E1627" s="13" t="str">
        <f t="shared" si="115"/>
        <v>FONDAZIONE IRCCS  CA'  GRANDA - OSPEDALE MAGGIORE - POLICLINICO</v>
      </c>
      <c r="F1627" s="13" t="s">
        <v>24</v>
      </c>
      <c r="G1627" s="15">
        <v>13761</v>
      </c>
    </row>
    <row r="1628" spans="1:7" ht="22.5" x14ac:dyDescent="0.25">
      <c r="A1628" s="13">
        <v>13986</v>
      </c>
      <c r="B1628" s="14">
        <v>43437.434733796297</v>
      </c>
      <c r="C1628" s="13" t="s">
        <v>10</v>
      </c>
      <c r="D1628" s="13" t="str">
        <f>"CONSULENZE SANITARIE ASST/ATS REGIONE"</f>
        <v>CONSULENZE SANITARIE ASST/ATS REGIONE</v>
      </c>
      <c r="E1628" s="13" t="str">
        <f t="shared" si="115"/>
        <v>FONDAZIONE IRCCS  CA'  GRANDA - OSPEDALE MAGGIORE - POLICLINICO</v>
      </c>
      <c r="F1628" s="13" t="s">
        <v>24</v>
      </c>
      <c r="G1628" s="15">
        <v>7281.5</v>
      </c>
    </row>
    <row r="1629" spans="1:7" ht="22.5" x14ac:dyDescent="0.25">
      <c r="A1629" s="13">
        <v>13987</v>
      </c>
      <c r="B1629" s="14">
        <v>43437.434733796297</v>
      </c>
      <c r="C1629" s="13" t="s">
        <v>10</v>
      </c>
      <c r="D1629" s="13" t="str">
        <f>"CONSULENZE SANITARIE ASST/ATS REGIONE"</f>
        <v>CONSULENZE SANITARIE ASST/ATS REGIONE</v>
      </c>
      <c r="E1629" s="13" t="str">
        <f t="shared" si="115"/>
        <v>FONDAZIONE IRCCS  CA'  GRANDA - OSPEDALE MAGGIORE - POLICLINICO</v>
      </c>
      <c r="F1629" s="13" t="s">
        <v>24</v>
      </c>
      <c r="G1629" s="15">
        <v>10290.32</v>
      </c>
    </row>
    <row r="1630" spans="1:7" ht="22.5" x14ac:dyDescent="0.25">
      <c r="A1630" s="13">
        <v>13988</v>
      </c>
      <c r="B1630" s="14">
        <v>43437.434733796297</v>
      </c>
      <c r="C1630" s="13" t="s">
        <v>10</v>
      </c>
      <c r="D1630" s="13" t="str">
        <f>"PRESTAZIONI SANITARIE DA ASST/ATS REGIONE"</f>
        <v>PRESTAZIONI SANITARIE DA ASST/ATS REGIONE</v>
      </c>
      <c r="E1630" s="13" t="str">
        <f t="shared" si="115"/>
        <v>FONDAZIONE IRCCS  CA'  GRANDA - OSPEDALE MAGGIORE - POLICLINICO</v>
      </c>
      <c r="F1630" s="13" t="s">
        <v>24</v>
      </c>
      <c r="G1630" s="15">
        <v>12339</v>
      </c>
    </row>
    <row r="1631" spans="1:7" ht="22.5" x14ac:dyDescent="0.25">
      <c r="A1631" s="13">
        <v>13989</v>
      </c>
      <c r="B1631" s="14">
        <v>43437.434733796297</v>
      </c>
      <c r="C1631" s="13" t="s">
        <v>10</v>
      </c>
      <c r="D1631" s="13" t="str">
        <f>"PRESTAZIONI SANITARIE DA ASST/ATS REGIONE"</f>
        <v>PRESTAZIONI SANITARIE DA ASST/ATS REGIONE</v>
      </c>
      <c r="E1631" s="13" t="str">
        <f t="shared" si="115"/>
        <v>FONDAZIONE IRCCS  CA'  GRANDA - OSPEDALE MAGGIORE - POLICLINICO</v>
      </c>
      <c r="F1631" s="13" t="s">
        <v>24</v>
      </c>
      <c r="G1631" s="15">
        <v>13736</v>
      </c>
    </row>
    <row r="1632" spans="1:7" ht="22.5" x14ac:dyDescent="0.25">
      <c r="A1632" s="13">
        <v>13990</v>
      </c>
      <c r="B1632" s="14">
        <v>43437.434733796297</v>
      </c>
      <c r="C1632" s="13" t="s">
        <v>10</v>
      </c>
      <c r="D1632" s="13" t="str">
        <f>"PRESTAZIONI SANITARIE DA ASST/ATS REGIONE"</f>
        <v>PRESTAZIONI SANITARIE DA ASST/ATS REGIONE</v>
      </c>
      <c r="E1632" s="13" t="str">
        <f t="shared" si="115"/>
        <v>FONDAZIONE IRCCS  CA'  GRANDA - OSPEDALE MAGGIORE - POLICLINICO</v>
      </c>
      <c r="F1632" s="13" t="s">
        <v>24</v>
      </c>
      <c r="G1632" s="15">
        <v>27058.28</v>
      </c>
    </row>
    <row r="1633" spans="1:7" ht="22.5" x14ac:dyDescent="0.25">
      <c r="A1633" s="13">
        <v>13991</v>
      </c>
      <c r="B1633" s="14">
        <v>43437.434733796297</v>
      </c>
      <c r="C1633" s="13" t="s">
        <v>10</v>
      </c>
      <c r="D1633" s="13" t="str">
        <f>"CONSULENZE SANITARIE ASST/ATS REGIONE"</f>
        <v>CONSULENZE SANITARIE ASST/ATS REGIONE</v>
      </c>
      <c r="E1633" s="13" t="str">
        <f t="shared" si="115"/>
        <v>FONDAZIONE IRCCS  CA'  GRANDA - OSPEDALE MAGGIORE - POLICLINICO</v>
      </c>
      <c r="F1633" s="13" t="s">
        <v>32</v>
      </c>
      <c r="G1633" s="15">
        <v>312.5</v>
      </c>
    </row>
    <row r="1634" spans="1:7" ht="22.5" x14ac:dyDescent="0.25">
      <c r="A1634" s="13">
        <v>13992</v>
      </c>
      <c r="B1634" s="14">
        <v>43437.434733796297</v>
      </c>
      <c r="C1634" s="13" t="s">
        <v>10</v>
      </c>
      <c r="D1634" s="13" t="str">
        <f>"CONSULENZE SANITARIE ASST/ATS REGIONE"</f>
        <v>CONSULENZE SANITARIE ASST/ATS REGIONE</v>
      </c>
      <c r="E1634" s="13" t="str">
        <f t="shared" si="115"/>
        <v>FONDAZIONE IRCCS  CA'  GRANDA - OSPEDALE MAGGIORE - POLICLINICO</v>
      </c>
      <c r="F1634" s="13" t="s">
        <v>32</v>
      </c>
      <c r="G1634" s="15">
        <v>6388.16</v>
      </c>
    </row>
    <row r="1635" spans="1:7" ht="22.5" x14ac:dyDescent="0.25">
      <c r="A1635" s="13">
        <v>13993</v>
      </c>
      <c r="B1635" s="14">
        <v>43437.434733796297</v>
      </c>
      <c r="C1635" s="13" t="s">
        <v>10</v>
      </c>
      <c r="D1635" s="13" t="str">
        <f>"CONSULENZE SANITARIE ASST/ATS REGIONE"</f>
        <v>CONSULENZE SANITARIE ASST/ATS REGIONE</v>
      </c>
      <c r="E1635" s="13" t="str">
        <f t="shared" si="115"/>
        <v>FONDAZIONE IRCCS  CA'  GRANDA - OSPEDALE MAGGIORE - POLICLINICO</v>
      </c>
      <c r="F1635" s="13" t="s">
        <v>32</v>
      </c>
      <c r="G1635" s="15">
        <v>5157.66</v>
      </c>
    </row>
    <row r="1636" spans="1:7" ht="22.5" x14ac:dyDescent="0.25">
      <c r="A1636" s="13">
        <v>13994</v>
      </c>
      <c r="B1636" s="14">
        <v>43437.434733796297</v>
      </c>
      <c r="C1636" s="13" t="s">
        <v>10</v>
      </c>
      <c r="D1636" s="13" t="str">
        <f>"Fatture da Ricevere Generico"</f>
        <v>Fatture da Ricevere Generico</v>
      </c>
      <c r="E1636" s="13" t="str">
        <f t="shared" si="115"/>
        <v>FONDAZIONE IRCCS  CA'  GRANDA - OSPEDALE MAGGIORE - POLICLINICO</v>
      </c>
      <c r="F1636" s="13" t="s">
        <v>25</v>
      </c>
      <c r="G1636" s="15">
        <v>16655</v>
      </c>
    </row>
    <row r="1637" spans="1:7" ht="22.5" x14ac:dyDescent="0.25">
      <c r="A1637" s="13">
        <v>13995</v>
      </c>
      <c r="B1637" s="14">
        <v>43437.434733796297</v>
      </c>
      <c r="C1637" s="13" t="s">
        <v>10</v>
      </c>
      <c r="D1637" s="13" t="str">
        <f>"Fatture da Ricevere Generico"</f>
        <v>Fatture da Ricevere Generico</v>
      </c>
      <c r="E1637" s="13" t="str">
        <f t="shared" si="115"/>
        <v>FONDAZIONE IRCCS  CA'  GRANDA - OSPEDALE MAGGIORE - POLICLINICO</v>
      </c>
      <c r="F1637" s="13" t="s">
        <v>25</v>
      </c>
      <c r="G1637" s="15">
        <v>7946</v>
      </c>
    </row>
    <row r="1638" spans="1:7" ht="22.5" x14ac:dyDescent="0.25">
      <c r="A1638" s="13">
        <v>13996</v>
      </c>
      <c r="B1638" s="14">
        <v>43437.434733796297</v>
      </c>
      <c r="C1638" s="13" t="s">
        <v>10</v>
      </c>
      <c r="D1638" s="13" t="str">
        <f>"Fatture da Ricevere Generico"</f>
        <v>Fatture da Ricevere Generico</v>
      </c>
      <c r="E1638" s="13" t="str">
        <f t="shared" si="115"/>
        <v>FONDAZIONE IRCCS  CA'  GRANDA - OSPEDALE MAGGIORE - POLICLINICO</v>
      </c>
      <c r="F1638" s="13" t="s">
        <v>25</v>
      </c>
      <c r="G1638" s="15">
        <v>9995.67</v>
      </c>
    </row>
    <row r="1639" spans="1:7" ht="33.75" x14ac:dyDescent="0.25">
      <c r="A1639" s="13">
        <v>13997</v>
      </c>
      <c r="B1639" s="14">
        <v>43437.434733796297</v>
      </c>
      <c r="C1639" s="13" t="s">
        <v>10</v>
      </c>
      <c r="D1639" s="13" t="str">
        <f>"FT RIC FONDAZIONE IRCCS CA' GRANDA-OSPEDALE MAGGIORE-POLICLINICO"</f>
        <v>FT RIC FONDAZIONE IRCCS CA' GRANDA-OSPEDALE MAGGIORE-POLICLINICO</v>
      </c>
      <c r="E1639" s="13" t="str">
        <f t="shared" si="115"/>
        <v>FONDAZIONE IRCCS  CA'  GRANDA - OSPEDALE MAGGIORE - POLICLINICO</v>
      </c>
      <c r="F1639" s="13" t="s">
        <v>32</v>
      </c>
      <c r="G1639" s="15">
        <v>12101.59</v>
      </c>
    </row>
    <row r="1640" spans="1:7" ht="22.5" x14ac:dyDescent="0.25">
      <c r="A1640" s="13">
        <v>13998</v>
      </c>
      <c r="B1640" s="14">
        <v>43437.434733796297</v>
      </c>
      <c r="C1640" s="13" t="s">
        <v>10</v>
      </c>
      <c r="D1640" s="13" t="str">
        <f t="shared" ref="D1640:D1646" si="116">"PRESTAZIONI SANITARIE DA ASST/ATS REGIONE"</f>
        <v>PRESTAZIONI SANITARIE DA ASST/ATS REGIONE</v>
      </c>
      <c r="E1640" s="13" t="str">
        <f t="shared" si="115"/>
        <v>FONDAZIONE IRCCS  CA'  GRANDA - OSPEDALE MAGGIORE - POLICLINICO</v>
      </c>
      <c r="F1640" s="13" t="str">
        <f>"ACQ.PREST.SAN.DA STRUTT.SAN.REG."</f>
        <v>ACQ.PREST.SAN.DA STRUTT.SAN.REG.</v>
      </c>
      <c r="G1640" s="15">
        <v>169.84</v>
      </c>
    </row>
    <row r="1641" spans="1:7" ht="22.5" x14ac:dyDescent="0.25">
      <c r="A1641" s="13">
        <v>13999</v>
      </c>
      <c r="B1641" s="14">
        <v>43437.434733796297</v>
      </c>
      <c r="C1641" s="13" t="s">
        <v>10</v>
      </c>
      <c r="D1641" s="13" t="str">
        <f t="shared" si="116"/>
        <v>PRESTAZIONI SANITARIE DA ASST/ATS REGIONE</v>
      </c>
      <c r="E1641" s="13" t="str">
        <f t="shared" si="115"/>
        <v>FONDAZIONE IRCCS  CA'  GRANDA - OSPEDALE MAGGIORE - POLICLINICO</v>
      </c>
      <c r="F1641" s="13" t="str">
        <f>"ACQ.PREST.SAN.DA STRUTT.SAN.REG."</f>
        <v>ACQ.PREST.SAN.DA STRUTT.SAN.REG.</v>
      </c>
      <c r="G1641" s="15">
        <v>738</v>
      </c>
    </row>
    <row r="1642" spans="1:7" ht="22.5" x14ac:dyDescent="0.25">
      <c r="A1642" s="13">
        <v>14000</v>
      </c>
      <c r="B1642" s="14">
        <v>43437.434733796297</v>
      </c>
      <c r="C1642" s="13" t="s">
        <v>10</v>
      </c>
      <c r="D1642" s="13" t="str">
        <f t="shared" si="116"/>
        <v>PRESTAZIONI SANITARIE DA ASST/ATS REGIONE</v>
      </c>
      <c r="E1642" s="13" t="str">
        <f t="shared" si="115"/>
        <v>FONDAZIONE IRCCS  CA'  GRANDA - OSPEDALE MAGGIORE - POLICLINICO</v>
      </c>
      <c r="F1642" s="13" t="str">
        <f>"ACQ.PREST.SAN.DA STRUTT.SAN.REG."</f>
        <v>ACQ.PREST.SAN.DA STRUTT.SAN.REG.</v>
      </c>
      <c r="G1642" s="15">
        <v>2185</v>
      </c>
    </row>
    <row r="1643" spans="1:7" ht="22.5" x14ac:dyDescent="0.25">
      <c r="A1643" s="13">
        <v>14001</v>
      </c>
      <c r="B1643" s="14">
        <v>43437.434733796297</v>
      </c>
      <c r="C1643" s="13" t="s">
        <v>10</v>
      </c>
      <c r="D1643" s="13" t="str">
        <f t="shared" si="116"/>
        <v>PRESTAZIONI SANITARIE DA ASST/ATS REGIONE</v>
      </c>
      <c r="E1643" s="13" t="str">
        <f t="shared" si="115"/>
        <v>FONDAZIONE IRCCS  CA'  GRANDA - OSPEDALE MAGGIORE - POLICLINICO</v>
      </c>
      <c r="F1643" s="13" t="str">
        <f>"ACQ.PREST.SAN.DA STRUTT.SAN.REG."</f>
        <v>ACQ.PREST.SAN.DA STRUTT.SAN.REG.</v>
      </c>
      <c r="G1643" s="15">
        <v>5104</v>
      </c>
    </row>
    <row r="1644" spans="1:7" ht="22.5" x14ac:dyDescent="0.25">
      <c r="A1644" s="13">
        <v>14002</v>
      </c>
      <c r="B1644" s="14">
        <v>43437.434733796297</v>
      </c>
      <c r="C1644" s="13" t="s">
        <v>10</v>
      </c>
      <c r="D1644" s="13" t="str">
        <f t="shared" si="116"/>
        <v>PRESTAZIONI SANITARIE DA ASST/ATS REGIONE</v>
      </c>
      <c r="E1644" s="13" t="str">
        <f t="shared" si="115"/>
        <v>FONDAZIONE IRCCS  CA'  GRANDA - OSPEDALE MAGGIORE - POLICLINICO</v>
      </c>
      <c r="F1644" s="13" t="str">
        <f>"ACQ.PREST.SAN.DA STRUTT.SAN.REG."</f>
        <v>ACQ.PREST.SAN.DA STRUTT.SAN.REG.</v>
      </c>
      <c r="G1644" s="15">
        <v>-98.64</v>
      </c>
    </row>
    <row r="1645" spans="1:7" ht="22.5" x14ac:dyDescent="0.25">
      <c r="A1645" s="13">
        <v>14003</v>
      </c>
      <c r="B1645" s="14">
        <v>43437.434803240743</v>
      </c>
      <c r="C1645" s="13" t="s">
        <v>10</v>
      </c>
      <c r="D1645" s="13" t="str">
        <f t="shared" si="116"/>
        <v>PRESTAZIONI SANITARIE DA ASST/ATS REGIONE</v>
      </c>
      <c r="E1645" s="13" t="str">
        <f>"ASST GRANDE OSPEDALE METROPOLITANO NIGUARDA"</f>
        <v>ASST GRANDE OSPEDALE METROPOLITANO NIGUARDA</v>
      </c>
      <c r="F1645" s="13" t="s">
        <v>24</v>
      </c>
      <c r="G1645" s="15">
        <v>1083.8599999999999</v>
      </c>
    </row>
    <row r="1646" spans="1:7" ht="22.5" x14ac:dyDescent="0.25">
      <c r="A1646" s="13">
        <v>14004</v>
      </c>
      <c r="B1646" s="14">
        <v>43437.434803240743</v>
      </c>
      <c r="C1646" s="13" t="s">
        <v>10</v>
      </c>
      <c r="D1646" s="13" t="str">
        <f t="shared" si="116"/>
        <v>PRESTAZIONI SANITARIE DA ASST/ATS REGIONE</v>
      </c>
      <c r="E1646" s="13" t="str">
        <f>"ASST GRANDE OSPEDALE METROPOLITANO NIGUARDA"</f>
        <v>ASST GRANDE OSPEDALE METROPOLITANO NIGUARDA</v>
      </c>
      <c r="F1646" s="13" t="s">
        <v>24</v>
      </c>
      <c r="G1646" s="15">
        <v>152</v>
      </c>
    </row>
    <row r="1647" spans="1:7" ht="22.5" x14ac:dyDescent="0.25">
      <c r="A1647" s="13">
        <v>14005</v>
      </c>
      <c r="B1647" s="14">
        <v>43437.434849537036</v>
      </c>
      <c r="C1647" s="13" t="s">
        <v>10</v>
      </c>
      <c r="D1647" s="13" t="str">
        <f t="shared" ref="D1647:D1661" si="117">"PRODOTTI ALIMENTARI"</f>
        <v>PRODOTTI ALIMENTARI</v>
      </c>
      <c r="E1647" s="13" t="str">
        <f t="shared" ref="E1647:E1661" si="118">"TURRA ELIO Ortofrutta"</f>
        <v>TURRA ELIO Ortofrutta</v>
      </c>
      <c r="F1647" s="13" t="s">
        <v>16</v>
      </c>
      <c r="G1647" s="15">
        <v>198.75</v>
      </c>
    </row>
    <row r="1648" spans="1:7" ht="22.5" x14ac:dyDescent="0.25">
      <c r="A1648" s="13">
        <v>14006</v>
      </c>
      <c r="B1648" s="14">
        <v>43437.434849537036</v>
      </c>
      <c r="C1648" s="13" t="s">
        <v>10</v>
      </c>
      <c r="D1648" s="13" t="str">
        <f t="shared" si="117"/>
        <v>PRODOTTI ALIMENTARI</v>
      </c>
      <c r="E1648" s="13" t="str">
        <f t="shared" si="118"/>
        <v>TURRA ELIO Ortofrutta</v>
      </c>
      <c r="F1648" s="13" t="s">
        <v>16</v>
      </c>
      <c r="G1648" s="15">
        <v>176.75</v>
      </c>
    </row>
    <row r="1649" spans="1:7" ht="22.5" x14ac:dyDescent="0.25">
      <c r="A1649" s="13">
        <v>14007</v>
      </c>
      <c r="B1649" s="14">
        <v>43437.434849537036</v>
      </c>
      <c r="C1649" s="13" t="s">
        <v>10</v>
      </c>
      <c r="D1649" s="13" t="str">
        <f t="shared" si="117"/>
        <v>PRODOTTI ALIMENTARI</v>
      </c>
      <c r="E1649" s="13" t="str">
        <f t="shared" si="118"/>
        <v>TURRA ELIO Ortofrutta</v>
      </c>
      <c r="F1649" s="13" t="s">
        <v>16</v>
      </c>
      <c r="G1649" s="15">
        <v>143.75</v>
      </c>
    </row>
    <row r="1650" spans="1:7" ht="22.5" x14ac:dyDescent="0.25">
      <c r="A1650" s="13">
        <v>14008</v>
      </c>
      <c r="B1650" s="14">
        <v>43437.434849537036</v>
      </c>
      <c r="C1650" s="13" t="s">
        <v>10</v>
      </c>
      <c r="D1650" s="13" t="str">
        <f t="shared" si="117"/>
        <v>PRODOTTI ALIMENTARI</v>
      </c>
      <c r="E1650" s="13" t="str">
        <f t="shared" si="118"/>
        <v>TURRA ELIO Ortofrutta</v>
      </c>
      <c r="F1650" s="13" t="s">
        <v>16</v>
      </c>
      <c r="G1650" s="15">
        <v>180</v>
      </c>
    </row>
    <row r="1651" spans="1:7" ht="22.5" x14ac:dyDescent="0.25">
      <c r="A1651" s="13">
        <v>14009</v>
      </c>
      <c r="B1651" s="14">
        <v>43437.434849537036</v>
      </c>
      <c r="C1651" s="13" t="s">
        <v>10</v>
      </c>
      <c r="D1651" s="13" t="str">
        <f t="shared" si="117"/>
        <v>PRODOTTI ALIMENTARI</v>
      </c>
      <c r="E1651" s="13" t="str">
        <f t="shared" si="118"/>
        <v>TURRA ELIO Ortofrutta</v>
      </c>
      <c r="F1651" s="13" t="s">
        <v>16</v>
      </c>
      <c r="G1651" s="15">
        <v>187.75</v>
      </c>
    </row>
    <row r="1652" spans="1:7" ht="22.5" x14ac:dyDescent="0.25">
      <c r="A1652" s="13">
        <v>14010</v>
      </c>
      <c r="B1652" s="14">
        <v>43437.434849537036</v>
      </c>
      <c r="C1652" s="13" t="s">
        <v>10</v>
      </c>
      <c r="D1652" s="13" t="str">
        <f t="shared" si="117"/>
        <v>PRODOTTI ALIMENTARI</v>
      </c>
      <c r="E1652" s="13" t="str">
        <f t="shared" si="118"/>
        <v>TURRA ELIO Ortofrutta</v>
      </c>
      <c r="F1652" s="13" t="s">
        <v>16</v>
      </c>
      <c r="G1652" s="15">
        <v>143.75</v>
      </c>
    </row>
    <row r="1653" spans="1:7" ht="22.5" x14ac:dyDescent="0.25">
      <c r="A1653" s="13">
        <v>14011</v>
      </c>
      <c r="B1653" s="14">
        <v>43437.434849537036</v>
      </c>
      <c r="C1653" s="13" t="s">
        <v>10</v>
      </c>
      <c r="D1653" s="13" t="str">
        <f t="shared" si="117"/>
        <v>PRODOTTI ALIMENTARI</v>
      </c>
      <c r="E1653" s="13" t="str">
        <f t="shared" si="118"/>
        <v>TURRA ELIO Ortofrutta</v>
      </c>
      <c r="F1653" s="13" t="s">
        <v>16</v>
      </c>
      <c r="G1653" s="15">
        <v>90</v>
      </c>
    </row>
    <row r="1654" spans="1:7" ht="22.5" x14ac:dyDescent="0.25">
      <c r="A1654" s="13">
        <v>14012</v>
      </c>
      <c r="B1654" s="14">
        <v>43437.434849537036</v>
      </c>
      <c r="C1654" s="13" t="s">
        <v>10</v>
      </c>
      <c r="D1654" s="13" t="str">
        <f t="shared" si="117"/>
        <v>PRODOTTI ALIMENTARI</v>
      </c>
      <c r="E1654" s="13" t="str">
        <f t="shared" si="118"/>
        <v>TURRA ELIO Ortofrutta</v>
      </c>
      <c r="F1654" s="13" t="s">
        <v>16</v>
      </c>
      <c r="G1654" s="15">
        <v>180</v>
      </c>
    </row>
    <row r="1655" spans="1:7" ht="22.5" x14ac:dyDescent="0.25">
      <c r="A1655" s="13">
        <v>14013</v>
      </c>
      <c r="B1655" s="14">
        <v>43437.434849537036</v>
      </c>
      <c r="C1655" s="13" t="s">
        <v>10</v>
      </c>
      <c r="D1655" s="13" t="str">
        <f t="shared" si="117"/>
        <v>PRODOTTI ALIMENTARI</v>
      </c>
      <c r="E1655" s="13" t="str">
        <f t="shared" si="118"/>
        <v>TURRA ELIO Ortofrutta</v>
      </c>
      <c r="F1655" s="13" t="s">
        <v>16</v>
      </c>
      <c r="G1655" s="15">
        <v>294</v>
      </c>
    </row>
    <row r="1656" spans="1:7" ht="22.5" x14ac:dyDescent="0.25">
      <c r="A1656" s="13">
        <v>14014</v>
      </c>
      <c r="B1656" s="14">
        <v>43437.434849537036</v>
      </c>
      <c r="C1656" s="13" t="s">
        <v>10</v>
      </c>
      <c r="D1656" s="13" t="str">
        <f t="shared" si="117"/>
        <v>PRODOTTI ALIMENTARI</v>
      </c>
      <c r="E1656" s="13" t="str">
        <f t="shared" si="118"/>
        <v>TURRA ELIO Ortofrutta</v>
      </c>
      <c r="F1656" s="13" t="s">
        <v>16</v>
      </c>
      <c r="G1656" s="15">
        <v>180</v>
      </c>
    </row>
    <row r="1657" spans="1:7" ht="22.5" x14ac:dyDescent="0.25">
      <c r="A1657" s="13">
        <v>14015</v>
      </c>
      <c r="B1657" s="14">
        <v>43437.434895833336</v>
      </c>
      <c r="C1657" s="13" t="s">
        <v>10</v>
      </c>
      <c r="D1657" s="13" t="str">
        <f t="shared" si="117"/>
        <v>PRODOTTI ALIMENTARI</v>
      </c>
      <c r="E1657" s="13" t="str">
        <f t="shared" si="118"/>
        <v>TURRA ELIO Ortofrutta</v>
      </c>
      <c r="F1657" s="13" t="s">
        <v>16</v>
      </c>
      <c r="G1657" s="15">
        <v>1244.43</v>
      </c>
    </row>
    <row r="1658" spans="1:7" ht="22.5" x14ac:dyDescent="0.25">
      <c r="A1658" s="13">
        <v>14016</v>
      </c>
      <c r="B1658" s="14">
        <v>43437.434895833336</v>
      </c>
      <c r="C1658" s="13" t="s">
        <v>10</v>
      </c>
      <c r="D1658" s="13" t="str">
        <f t="shared" si="117"/>
        <v>PRODOTTI ALIMENTARI</v>
      </c>
      <c r="E1658" s="13" t="str">
        <f t="shared" si="118"/>
        <v>TURRA ELIO Ortofrutta</v>
      </c>
      <c r="F1658" s="13" t="s">
        <v>16</v>
      </c>
      <c r="G1658" s="15">
        <v>1414.4</v>
      </c>
    </row>
    <row r="1659" spans="1:7" ht="22.5" x14ac:dyDescent="0.25">
      <c r="A1659" s="13">
        <v>14017</v>
      </c>
      <c r="B1659" s="14">
        <v>43437.434895833336</v>
      </c>
      <c r="C1659" s="13" t="s">
        <v>10</v>
      </c>
      <c r="D1659" s="13" t="str">
        <f t="shared" si="117"/>
        <v>PRODOTTI ALIMENTARI</v>
      </c>
      <c r="E1659" s="13" t="str">
        <f t="shared" si="118"/>
        <v>TURRA ELIO Ortofrutta</v>
      </c>
      <c r="F1659" s="13" t="s">
        <v>16</v>
      </c>
      <c r="G1659" s="15">
        <v>996.08</v>
      </c>
    </row>
    <row r="1660" spans="1:7" ht="22.5" x14ac:dyDescent="0.25">
      <c r="A1660" s="13">
        <v>14018</v>
      </c>
      <c r="B1660" s="14">
        <v>43437.434895833336</v>
      </c>
      <c r="C1660" s="13" t="s">
        <v>10</v>
      </c>
      <c r="D1660" s="13" t="str">
        <f t="shared" si="117"/>
        <v>PRODOTTI ALIMENTARI</v>
      </c>
      <c r="E1660" s="13" t="str">
        <f t="shared" si="118"/>
        <v>TURRA ELIO Ortofrutta</v>
      </c>
      <c r="F1660" s="13" t="s">
        <v>16</v>
      </c>
      <c r="G1660" s="15">
        <v>1463.36</v>
      </c>
    </row>
    <row r="1661" spans="1:7" ht="22.5" x14ac:dyDescent="0.25">
      <c r="A1661" s="13">
        <v>14019</v>
      </c>
      <c r="B1661" s="14">
        <v>43437.434895833336</v>
      </c>
      <c r="C1661" s="13" t="s">
        <v>10</v>
      </c>
      <c r="D1661" s="13" t="str">
        <f t="shared" si="117"/>
        <v>PRODOTTI ALIMENTARI</v>
      </c>
      <c r="E1661" s="13" t="str">
        <f t="shared" si="118"/>
        <v>TURRA ELIO Ortofrutta</v>
      </c>
      <c r="F1661" s="13" t="s">
        <v>16</v>
      </c>
      <c r="G1661" s="15">
        <v>1125.7</v>
      </c>
    </row>
    <row r="1662" spans="1:7" ht="22.5" x14ac:dyDescent="0.25">
      <c r="A1662" s="13">
        <v>14020</v>
      </c>
      <c r="B1662" s="14">
        <v>43437.434942129628</v>
      </c>
      <c r="C1662" s="13" t="s">
        <v>13</v>
      </c>
      <c r="D1662" s="13" t="str">
        <f>"FABBRICATI STRUMENTALI"</f>
        <v>FABBRICATI STRUMENTALI</v>
      </c>
      <c r="E1662" s="13" t="str">
        <f>"ZEPHYRO SPA"</f>
        <v>ZEPHYRO SPA</v>
      </c>
      <c r="F1662" s="13" t="s">
        <v>14</v>
      </c>
      <c r="G1662" s="15">
        <v>6500</v>
      </c>
    </row>
    <row r="1663" spans="1:7" ht="22.5" x14ac:dyDescent="0.25">
      <c r="A1663" s="13">
        <v>14021</v>
      </c>
      <c r="B1663" s="14">
        <v>43437.434988425928</v>
      </c>
      <c r="C1663" s="13" t="s">
        <v>13</v>
      </c>
      <c r="D1663" s="13" t="str">
        <f>"ANTICIPI REALIZZAZIONE NUOVA SEDE AREU DGR X/855/2013"</f>
        <v>ANTICIPI REALIZZAZIONE NUOVA SEDE AREU DGR X/855/2013</v>
      </c>
      <c r="E1663" s="13" t="str">
        <f>"STUDIO TECNICO AN INGEGNERIA CIVILE"</f>
        <v>STUDIO TECNICO AN INGEGNERIA CIVILE</v>
      </c>
      <c r="F1663" s="13" t="str">
        <f>"FABBRICATI"</f>
        <v>FABBRICATI</v>
      </c>
      <c r="G1663" s="15">
        <v>855.04</v>
      </c>
    </row>
    <row r="1664" spans="1:7" ht="22.5" x14ac:dyDescent="0.25">
      <c r="A1664" s="13">
        <v>14022</v>
      </c>
      <c r="B1664" s="14">
        <v>43437.435023148151</v>
      </c>
      <c r="C1664" s="13" t="s">
        <v>10</v>
      </c>
      <c r="D1664" s="13" t="str">
        <f>"SERVIZIO CUCINA E MENSA (ATTIVITÀ COMMERCIALE)"</f>
        <v>SERVIZIO CUCINA E MENSA (ATTIVITÀ COMMERCIALE)</v>
      </c>
      <c r="E1664" s="13" t="str">
        <f>"SERIST SRL"</f>
        <v>SERIST SRL</v>
      </c>
      <c r="F1664" s="13" t="s">
        <v>29</v>
      </c>
      <c r="G1664" s="15">
        <v>2732.86</v>
      </c>
    </row>
    <row r="1665" spans="1:7" ht="22.5" x14ac:dyDescent="0.25">
      <c r="A1665" s="13">
        <v>14023</v>
      </c>
      <c r="B1665" s="14">
        <v>43437.435023148151</v>
      </c>
      <c r="C1665" s="13" t="s">
        <v>10</v>
      </c>
      <c r="D1665" s="13" t="str">
        <f>"SERVIZIO CUCINA E MENSA (ATTIVITÀ COMMERCIALE)"</f>
        <v>SERVIZIO CUCINA E MENSA (ATTIVITÀ COMMERCIALE)</v>
      </c>
      <c r="E1665" s="13" t="str">
        <f>"SERIST SRL"</f>
        <v>SERIST SRL</v>
      </c>
      <c r="F1665" s="13" t="s">
        <v>29</v>
      </c>
      <c r="G1665" s="15">
        <v>2902.73</v>
      </c>
    </row>
    <row r="1666" spans="1:7" ht="22.5" x14ac:dyDescent="0.25">
      <c r="A1666" s="13">
        <v>14024</v>
      </c>
      <c r="B1666" s="14">
        <v>43437.435069444444</v>
      </c>
      <c r="C1666" s="13" t="s">
        <v>10</v>
      </c>
      <c r="D1666" s="13" t="str">
        <f>"SERVIZIO CUCINA E MENSA (ATTIVITÀ COMMERCIALE)"</f>
        <v>SERVIZIO CUCINA E MENSA (ATTIVITÀ COMMERCIALE)</v>
      </c>
      <c r="E1666" s="13" t="str">
        <f>"SARCA CATERING SRL a Socio Unico"</f>
        <v>SARCA CATERING SRL a Socio Unico</v>
      </c>
      <c r="F1666" s="13" t="s">
        <v>17</v>
      </c>
      <c r="G1666" s="15">
        <v>18154.400000000001</v>
      </c>
    </row>
    <row r="1667" spans="1:7" ht="22.5" x14ac:dyDescent="0.25">
      <c r="A1667" s="13">
        <v>14025</v>
      </c>
      <c r="B1667" s="14">
        <v>43437.435115740744</v>
      </c>
      <c r="C1667" s="13" t="s">
        <v>10</v>
      </c>
      <c r="D1667" s="13" t="str">
        <f t="shared" ref="D1667:D1673" si="119">"PRODOTTI ALIMENTARI"</f>
        <v>PRODOTTI ALIMENTARI</v>
      </c>
      <c r="E1667" s="13" t="str">
        <f>"PELLEGRINI SPA"</f>
        <v>PELLEGRINI SPA</v>
      </c>
      <c r="F1667" s="13" t="s">
        <v>16</v>
      </c>
      <c r="G1667" s="15">
        <v>428.54</v>
      </c>
    </row>
    <row r="1668" spans="1:7" ht="22.5" x14ac:dyDescent="0.25">
      <c r="A1668" s="13">
        <v>14026</v>
      </c>
      <c r="B1668" s="14">
        <v>43437.435115740744</v>
      </c>
      <c r="C1668" s="13" t="s">
        <v>10</v>
      </c>
      <c r="D1668" s="13" t="str">
        <f t="shared" si="119"/>
        <v>PRODOTTI ALIMENTARI</v>
      </c>
      <c r="E1668" s="13" t="str">
        <f>"PELLEGRINI SPA"</f>
        <v>PELLEGRINI SPA</v>
      </c>
      <c r="F1668" s="13" t="s">
        <v>16</v>
      </c>
      <c r="G1668" s="15">
        <v>428.54</v>
      </c>
    </row>
    <row r="1669" spans="1:7" ht="22.5" x14ac:dyDescent="0.25">
      <c r="A1669" s="13">
        <v>14027</v>
      </c>
      <c r="B1669" s="14">
        <v>43437.435115740744</v>
      </c>
      <c r="C1669" s="13" t="s">
        <v>10</v>
      </c>
      <c r="D1669" s="13" t="str">
        <f t="shared" si="119"/>
        <v>PRODOTTI ALIMENTARI</v>
      </c>
      <c r="E1669" s="13" t="str">
        <f>"PELLEGRINI SPA"</f>
        <v>PELLEGRINI SPA</v>
      </c>
      <c r="F1669" s="13" t="s">
        <v>16</v>
      </c>
      <c r="G1669" s="15">
        <v>428.54</v>
      </c>
    </row>
    <row r="1670" spans="1:7" ht="22.5" x14ac:dyDescent="0.25">
      <c r="A1670" s="13">
        <v>14028</v>
      </c>
      <c r="B1670" s="14">
        <v>43437.435162037036</v>
      </c>
      <c r="C1670" s="13" t="s">
        <v>10</v>
      </c>
      <c r="D1670" s="13" t="str">
        <f t="shared" si="119"/>
        <v>PRODOTTI ALIMENTARI</v>
      </c>
      <c r="E1670" s="13" t="str">
        <f>"NUTRICIA ITALIA SPA"</f>
        <v>NUTRICIA ITALIA SPA</v>
      </c>
      <c r="F1670" s="13" t="s">
        <v>16</v>
      </c>
      <c r="G1670" s="15">
        <v>106.8</v>
      </c>
    </row>
    <row r="1671" spans="1:7" ht="22.5" x14ac:dyDescent="0.25">
      <c r="A1671" s="13">
        <v>14029</v>
      </c>
      <c r="B1671" s="14">
        <v>43437.435219907406</v>
      </c>
      <c r="C1671" s="13" t="s">
        <v>10</v>
      </c>
      <c r="D1671" s="13" t="str">
        <f t="shared" si="119"/>
        <v>PRODOTTI ALIMENTARI</v>
      </c>
      <c r="E1671" s="13" t="str">
        <f>"NESTLE' ITALIANA SPA"</f>
        <v>NESTLE' ITALIANA SPA</v>
      </c>
      <c r="F1671" s="13" t="s">
        <v>16</v>
      </c>
      <c r="G1671" s="15">
        <v>333</v>
      </c>
    </row>
    <row r="1672" spans="1:7" ht="22.5" x14ac:dyDescent="0.25">
      <c r="A1672" s="13">
        <v>14030</v>
      </c>
      <c r="B1672" s="14">
        <v>43437.435219907406</v>
      </c>
      <c r="C1672" s="13" t="s">
        <v>10</v>
      </c>
      <c r="D1672" s="13" t="str">
        <f t="shared" si="119"/>
        <v>PRODOTTI ALIMENTARI</v>
      </c>
      <c r="E1672" s="13" t="str">
        <f>"NESTLE' ITALIANA SPA"</f>
        <v>NESTLE' ITALIANA SPA</v>
      </c>
      <c r="F1672" s="13" t="s">
        <v>16</v>
      </c>
      <c r="G1672" s="15">
        <v>960.42</v>
      </c>
    </row>
    <row r="1673" spans="1:7" ht="22.5" x14ac:dyDescent="0.25">
      <c r="A1673" s="13">
        <v>14031</v>
      </c>
      <c r="B1673" s="14">
        <v>43437.435266203705</v>
      </c>
      <c r="C1673" s="13" t="s">
        <v>10</v>
      </c>
      <c r="D1673" s="13" t="str">
        <f t="shared" si="119"/>
        <v>PRODOTTI ALIMENTARI</v>
      </c>
      <c r="E1673" s="13" t="str">
        <f>"NESTLE' ITALIANA SPA"</f>
        <v>NESTLE' ITALIANA SPA</v>
      </c>
      <c r="F1673" s="13" t="s">
        <v>16</v>
      </c>
      <c r="G1673" s="15">
        <v>123.84</v>
      </c>
    </row>
    <row r="1674" spans="1:7" ht="22.5" x14ac:dyDescent="0.25">
      <c r="A1674" s="13">
        <v>14032</v>
      </c>
      <c r="B1674" s="14">
        <v>43437.435335648152</v>
      </c>
      <c r="C1674" s="13" t="s">
        <v>13</v>
      </c>
      <c r="D1674" s="13" t="str">
        <f>"ATTREZZATURE E APPARECCHIATURE SANITARIE"</f>
        <v>ATTREZZATURE E APPARECCHIATURE SANITARIE</v>
      </c>
      <c r="E1674" s="13" t="str">
        <f>"BONESCHI &amp; C. SPA"</f>
        <v>BONESCHI &amp; C. SPA</v>
      </c>
      <c r="F1674" s="13" t="s">
        <v>14</v>
      </c>
      <c r="G1674" s="15">
        <v>1352.64</v>
      </c>
    </row>
    <row r="1675" spans="1:7" ht="22.5" x14ac:dyDescent="0.25">
      <c r="A1675" s="13">
        <v>14033</v>
      </c>
      <c r="B1675" s="14">
        <v>43437.435335648152</v>
      </c>
      <c r="C1675" s="13" t="s">
        <v>13</v>
      </c>
      <c r="D1675" s="13" t="str">
        <f>"ATTREZZATURE E APPARECCHIATURE SANITARIE"</f>
        <v>ATTREZZATURE E APPARECCHIATURE SANITARIE</v>
      </c>
      <c r="E1675" s="13" t="str">
        <f>"BONESCHI &amp; C. SPA"</f>
        <v>BONESCHI &amp; C. SPA</v>
      </c>
      <c r="F1675" s="13" t="s">
        <v>14</v>
      </c>
      <c r="G1675" s="15">
        <v>753.05</v>
      </c>
    </row>
    <row r="1676" spans="1:7" ht="22.5" x14ac:dyDescent="0.25">
      <c r="A1676" s="13">
        <v>14034</v>
      </c>
      <c r="B1676" s="14">
        <v>43437.435370370367</v>
      </c>
      <c r="C1676" s="13" t="s">
        <v>10</v>
      </c>
      <c r="D1676" s="13" t="str">
        <f>"NOTE CREDITO DA EMETTERE"</f>
        <v>NOTE CREDITO DA EMETTERE</v>
      </c>
      <c r="E1676" s="13" t="str">
        <f t="shared" ref="E1676:E1683" si="120">"DAC SPA "</f>
        <v xml:space="preserve">DAC SPA </v>
      </c>
      <c r="F1676" s="13" t="s">
        <v>14</v>
      </c>
      <c r="G1676" s="15">
        <v>-28.8</v>
      </c>
    </row>
    <row r="1677" spans="1:7" ht="22.5" x14ac:dyDescent="0.25">
      <c r="A1677" s="13">
        <v>14035</v>
      </c>
      <c r="B1677" s="14">
        <v>43437.435370370367</v>
      </c>
      <c r="C1677" s="13" t="s">
        <v>10</v>
      </c>
      <c r="D1677" s="13" t="str">
        <f t="shared" ref="D1677:D1689" si="121">"PRODOTTI ALIMENTARI"</f>
        <v>PRODOTTI ALIMENTARI</v>
      </c>
      <c r="E1677" s="13" t="str">
        <f t="shared" si="120"/>
        <v xml:space="preserve">DAC SPA </v>
      </c>
      <c r="F1677" s="13" t="s">
        <v>16</v>
      </c>
      <c r="G1677" s="15">
        <v>642.19000000000005</v>
      </c>
    </row>
    <row r="1678" spans="1:7" ht="22.5" x14ac:dyDescent="0.25">
      <c r="A1678" s="13">
        <v>14036</v>
      </c>
      <c r="B1678" s="14">
        <v>43437.435370370367</v>
      </c>
      <c r="C1678" s="13" t="s">
        <v>10</v>
      </c>
      <c r="D1678" s="13" t="str">
        <f t="shared" si="121"/>
        <v>PRODOTTI ALIMENTARI</v>
      </c>
      <c r="E1678" s="13" t="str">
        <f t="shared" si="120"/>
        <v xml:space="preserve">DAC SPA </v>
      </c>
      <c r="F1678" s="13" t="s">
        <v>16</v>
      </c>
      <c r="G1678" s="15">
        <v>1462.22</v>
      </c>
    </row>
    <row r="1679" spans="1:7" ht="22.5" x14ac:dyDescent="0.25">
      <c r="A1679" s="13">
        <v>14037</v>
      </c>
      <c r="B1679" s="14">
        <v>43437.435370370367</v>
      </c>
      <c r="C1679" s="13" t="s">
        <v>10</v>
      </c>
      <c r="D1679" s="13" t="str">
        <f t="shared" si="121"/>
        <v>PRODOTTI ALIMENTARI</v>
      </c>
      <c r="E1679" s="13" t="str">
        <f t="shared" si="120"/>
        <v xml:space="preserve">DAC SPA </v>
      </c>
      <c r="F1679" s="13" t="s">
        <v>16</v>
      </c>
      <c r="G1679" s="15">
        <v>-15.96</v>
      </c>
    </row>
    <row r="1680" spans="1:7" ht="22.5" x14ac:dyDescent="0.25">
      <c r="A1680" s="13">
        <v>14038</v>
      </c>
      <c r="B1680" s="14">
        <v>43437.435370370367</v>
      </c>
      <c r="C1680" s="13" t="s">
        <v>10</v>
      </c>
      <c r="D1680" s="13" t="str">
        <f t="shared" si="121"/>
        <v>PRODOTTI ALIMENTARI</v>
      </c>
      <c r="E1680" s="13" t="str">
        <f t="shared" si="120"/>
        <v xml:space="preserve">DAC SPA </v>
      </c>
      <c r="F1680" s="13" t="s">
        <v>16</v>
      </c>
      <c r="G1680" s="15">
        <v>1143.47</v>
      </c>
    </row>
    <row r="1681" spans="1:7" ht="22.5" x14ac:dyDescent="0.25">
      <c r="A1681" s="13">
        <v>14039</v>
      </c>
      <c r="B1681" s="14">
        <v>43437.435370370367</v>
      </c>
      <c r="C1681" s="13" t="s">
        <v>10</v>
      </c>
      <c r="D1681" s="13" t="str">
        <f t="shared" si="121"/>
        <v>PRODOTTI ALIMENTARI</v>
      </c>
      <c r="E1681" s="13" t="str">
        <f t="shared" si="120"/>
        <v xml:space="preserve">DAC SPA </v>
      </c>
      <c r="F1681" s="13" t="s">
        <v>16</v>
      </c>
      <c r="G1681" s="15">
        <v>825.4</v>
      </c>
    </row>
    <row r="1682" spans="1:7" ht="22.5" x14ac:dyDescent="0.25">
      <c r="A1682" s="13">
        <v>14040</v>
      </c>
      <c r="B1682" s="14">
        <v>43437.435370370367</v>
      </c>
      <c r="C1682" s="13" t="s">
        <v>10</v>
      </c>
      <c r="D1682" s="13" t="str">
        <f t="shared" si="121"/>
        <v>PRODOTTI ALIMENTARI</v>
      </c>
      <c r="E1682" s="13" t="str">
        <f t="shared" si="120"/>
        <v xml:space="preserve">DAC SPA </v>
      </c>
      <c r="F1682" s="13" t="s">
        <v>16</v>
      </c>
      <c r="G1682" s="15">
        <v>770.33</v>
      </c>
    </row>
    <row r="1683" spans="1:7" ht="22.5" x14ac:dyDescent="0.25">
      <c r="A1683" s="13">
        <v>14041</v>
      </c>
      <c r="B1683" s="14">
        <v>43437.435370370367</v>
      </c>
      <c r="C1683" s="13" t="s">
        <v>10</v>
      </c>
      <c r="D1683" s="13" t="str">
        <f t="shared" si="121"/>
        <v>PRODOTTI ALIMENTARI</v>
      </c>
      <c r="E1683" s="13" t="str">
        <f t="shared" si="120"/>
        <v xml:space="preserve">DAC SPA </v>
      </c>
      <c r="F1683" s="13" t="s">
        <v>16</v>
      </c>
      <c r="G1683" s="15">
        <v>943.97</v>
      </c>
    </row>
    <row r="1684" spans="1:7" ht="22.5" x14ac:dyDescent="0.25">
      <c r="A1684" s="13">
        <v>14042</v>
      </c>
      <c r="B1684" s="14">
        <v>43437.43540509259</v>
      </c>
      <c r="C1684" s="13" t="s">
        <v>10</v>
      </c>
      <c r="D1684" s="13" t="str">
        <f t="shared" si="121"/>
        <v>PRODOTTI ALIMENTARI</v>
      </c>
      <c r="E1684" s="13" t="str">
        <f t="shared" ref="E1684:E1689" si="122">"MARR SPA"</f>
        <v>MARR SPA</v>
      </c>
      <c r="F1684" s="13" t="s">
        <v>16</v>
      </c>
      <c r="G1684" s="15">
        <v>1184.51</v>
      </c>
    </row>
    <row r="1685" spans="1:7" ht="22.5" x14ac:dyDescent="0.25">
      <c r="A1685" s="13">
        <v>14043</v>
      </c>
      <c r="B1685" s="14">
        <v>43437.43540509259</v>
      </c>
      <c r="C1685" s="13" t="s">
        <v>10</v>
      </c>
      <c r="D1685" s="13" t="str">
        <f t="shared" si="121"/>
        <v>PRODOTTI ALIMENTARI</v>
      </c>
      <c r="E1685" s="13" t="str">
        <f t="shared" si="122"/>
        <v>MARR SPA</v>
      </c>
      <c r="F1685" s="13" t="s">
        <v>16</v>
      </c>
      <c r="G1685" s="15">
        <v>1030.74</v>
      </c>
    </row>
    <row r="1686" spans="1:7" ht="22.5" x14ac:dyDescent="0.25">
      <c r="A1686" s="13">
        <v>14044</v>
      </c>
      <c r="B1686" s="14">
        <v>43437.43545138889</v>
      </c>
      <c r="C1686" s="13" t="s">
        <v>10</v>
      </c>
      <c r="D1686" s="13" t="str">
        <f t="shared" si="121"/>
        <v>PRODOTTI ALIMENTARI</v>
      </c>
      <c r="E1686" s="13" t="str">
        <f t="shared" si="122"/>
        <v>MARR SPA</v>
      </c>
      <c r="F1686" s="13" t="s">
        <v>16</v>
      </c>
      <c r="G1686" s="15">
        <v>351</v>
      </c>
    </row>
    <row r="1687" spans="1:7" ht="22.5" x14ac:dyDescent="0.25">
      <c r="A1687" s="13">
        <v>14045</v>
      </c>
      <c r="B1687" s="14">
        <v>43437.43545138889</v>
      </c>
      <c r="C1687" s="13" t="s">
        <v>10</v>
      </c>
      <c r="D1687" s="13" t="str">
        <f t="shared" si="121"/>
        <v>PRODOTTI ALIMENTARI</v>
      </c>
      <c r="E1687" s="13" t="str">
        <f t="shared" si="122"/>
        <v>MARR SPA</v>
      </c>
      <c r="F1687" s="13" t="s">
        <v>16</v>
      </c>
      <c r="G1687" s="15">
        <v>486</v>
      </c>
    </row>
    <row r="1688" spans="1:7" ht="22.5" x14ac:dyDescent="0.25">
      <c r="A1688" s="13">
        <v>14046</v>
      </c>
      <c r="B1688" s="14">
        <v>43437.435486111113</v>
      </c>
      <c r="C1688" s="13" t="s">
        <v>10</v>
      </c>
      <c r="D1688" s="13" t="str">
        <f t="shared" si="121"/>
        <v>PRODOTTI ALIMENTARI</v>
      </c>
      <c r="E1688" s="13" t="str">
        <f t="shared" si="122"/>
        <v>MARR SPA</v>
      </c>
      <c r="F1688" s="13" t="s">
        <v>16</v>
      </c>
      <c r="G1688" s="15">
        <v>756.92</v>
      </c>
    </row>
    <row r="1689" spans="1:7" ht="22.5" x14ac:dyDescent="0.25">
      <c r="A1689" s="13">
        <v>14047</v>
      </c>
      <c r="B1689" s="14">
        <v>43437.435486111113</v>
      </c>
      <c r="C1689" s="13" t="s">
        <v>10</v>
      </c>
      <c r="D1689" s="13" t="str">
        <f t="shared" si="121"/>
        <v>PRODOTTI ALIMENTARI</v>
      </c>
      <c r="E1689" s="13" t="str">
        <f t="shared" si="122"/>
        <v>MARR SPA</v>
      </c>
      <c r="F1689" s="13" t="s">
        <v>16</v>
      </c>
      <c r="G1689" s="15">
        <v>347.3</v>
      </c>
    </row>
    <row r="1690" spans="1:7" ht="22.5" x14ac:dyDescent="0.25">
      <c r="A1690" s="13">
        <v>14048</v>
      </c>
      <c r="B1690" s="14">
        <v>43437.435520833336</v>
      </c>
      <c r="C1690" s="13" t="s">
        <v>13</v>
      </c>
      <c r="D1690" s="13" t="str">
        <f>"IMPIANTI ELETTRICI ED IDRAULICI"</f>
        <v>IMPIANTI ELETTRICI ED IDRAULICI</v>
      </c>
      <c r="E1690" s="13" t="str">
        <f>"ENGIE SERVIZI SPA"</f>
        <v>ENGIE SERVIZI SPA</v>
      </c>
      <c r="F1690" s="13" t="s">
        <v>15</v>
      </c>
      <c r="G1690" s="15">
        <v>26523.97</v>
      </c>
    </row>
    <row r="1691" spans="1:7" ht="22.5" x14ac:dyDescent="0.25">
      <c r="A1691" s="13">
        <v>14049</v>
      </c>
      <c r="B1691" s="14">
        <v>43437.435567129629</v>
      </c>
      <c r="C1691" s="13" t="s">
        <v>13</v>
      </c>
      <c r="D1691" s="13" t="str">
        <f>"Fatture da Ricevere Generico"</f>
        <v>Fatture da Ricevere Generico</v>
      </c>
      <c r="E1691" s="13" t="str">
        <f>"E.T.S. SPA - Engineering and Technical Services"</f>
        <v>E.T.S. SPA - Engineering and Technical Services</v>
      </c>
      <c r="F1691" s="13" t="s">
        <v>36</v>
      </c>
      <c r="G1691" s="15">
        <v>10263.620000000001</v>
      </c>
    </row>
    <row r="1692" spans="1:7" ht="22.5" x14ac:dyDescent="0.25">
      <c r="A1692" s="13">
        <v>14050</v>
      </c>
      <c r="B1692" s="14">
        <v>43437.435601851852</v>
      </c>
      <c r="C1692" s="13" t="s">
        <v>10</v>
      </c>
      <c r="D1692" s="13" t="str">
        <f t="shared" ref="D1692:D1710" si="123">"PRODOTTI ALIMENTARI"</f>
        <v>PRODOTTI ALIMENTARI</v>
      </c>
      <c r="E1692" s="13" t="str">
        <f t="shared" ref="E1692:E1710" si="124">"DAC SPA "</f>
        <v xml:space="preserve">DAC SPA </v>
      </c>
      <c r="F1692" s="13" t="s">
        <v>16</v>
      </c>
      <c r="G1692" s="15">
        <v>150</v>
      </c>
    </row>
    <row r="1693" spans="1:7" ht="22.5" x14ac:dyDescent="0.25">
      <c r="A1693" s="13">
        <v>14051</v>
      </c>
      <c r="B1693" s="14">
        <v>43437.435601851852</v>
      </c>
      <c r="C1693" s="13" t="s">
        <v>10</v>
      </c>
      <c r="D1693" s="13" t="str">
        <f t="shared" si="123"/>
        <v>PRODOTTI ALIMENTARI</v>
      </c>
      <c r="E1693" s="13" t="str">
        <f t="shared" si="124"/>
        <v xml:space="preserve">DAC SPA </v>
      </c>
      <c r="F1693" s="13" t="s">
        <v>16</v>
      </c>
      <c r="G1693" s="15">
        <v>135.80000000000001</v>
      </c>
    </row>
    <row r="1694" spans="1:7" ht="22.5" x14ac:dyDescent="0.25">
      <c r="A1694" s="13">
        <v>14052</v>
      </c>
      <c r="B1694" s="14">
        <v>43437.435601851852</v>
      </c>
      <c r="C1694" s="13" t="s">
        <v>10</v>
      </c>
      <c r="D1694" s="13" t="str">
        <f t="shared" si="123"/>
        <v>PRODOTTI ALIMENTARI</v>
      </c>
      <c r="E1694" s="13" t="str">
        <f t="shared" si="124"/>
        <v xml:space="preserve">DAC SPA </v>
      </c>
      <c r="F1694" s="13" t="s">
        <v>16</v>
      </c>
      <c r="G1694" s="15">
        <v>167.8</v>
      </c>
    </row>
    <row r="1695" spans="1:7" ht="22.5" x14ac:dyDescent="0.25">
      <c r="A1695" s="13">
        <v>14053</v>
      </c>
      <c r="B1695" s="14">
        <v>43437.435601851852</v>
      </c>
      <c r="C1695" s="13" t="s">
        <v>10</v>
      </c>
      <c r="D1695" s="13" t="str">
        <f t="shared" si="123"/>
        <v>PRODOTTI ALIMENTARI</v>
      </c>
      <c r="E1695" s="13" t="str">
        <f t="shared" si="124"/>
        <v xml:space="preserve">DAC SPA </v>
      </c>
      <c r="F1695" s="13" t="s">
        <v>16</v>
      </c>
      <c r="G1695" s="15">
        <v>42</v>
      </c>
    </row>
    <row r="1696" spans="1:7" ht="22.5" x14ac:dyDescent="0.25">
      <c r="A1696" s="13">
        <v>14054</v>
      </c>
      <c r="B1696" s="14">
        <v>43437.435601851852</v>
      </c>
      <c r="C1696" s="13" t="s">
        <v>10</v>
      </c>
      <c r="D1696" s="13" t="str">
        <f t="shared" si="123"/>
        <v>PRODOTTI ALIMENTARI</v>
      </c>
      <c r="E1696" s="13" t="str">
        <f t="shared" si="124"/>
        <v xml:space="preserve">DAC SPA </v>
      </c>
      <c r="F1696" s="13" t="s">
        <v>16</v>
      </c>
      <c r="G1696" s="15">
        <v>49.7</v>
      </c>
    </row>
    <row r="1697" spans="1:7" ht="22.5" x14ac:dyDescent="0.25">
      <c r="A1697" s="13">
        <v>14055</v>
      </c>
      <c r="B1697" s="14">
        <v>43437.435601851852</v>
      </c>
      <c r="C1697" s="13" t="s">
        <v>10</v>
      </c>
      <c r="D1697" s="13" t="str">
        <f t="shared" si="123"/>
        <v>PRODOTTI ALIMENTARI</v>
      </c>
      <c r="E1697" s="13" t="str">
        <f t="shared" si="124"/>
        <v xml:space="preserve">DAC SPA </v>
      </c>
      <c r="F1697" s="13" t="s">
        <v>16</v>
      </c>
      <c r="G1697" s="15">
        <v>164.2</v>
      </c>
    </row>
    <row r="1698" spans="1:7" ht="22.5" x14ac:dyDescent="0.25">
      <c r="A1698" s="13">
        <v>14056</v>
      </c>
      <c r="B1698" s="14">
        <v>43437.435636574075</v>
      </c>
      <c r="C1698" s="13" t="s">
        <v>10</v>
      </c>
      <c r="D1698" s="13" t="str">
        <f t="shared" si="123"/>
        <v>PRODOTTI ALIMENTARI</v>
      </c>
      <c r="E1698" s="13" t="str">
        <f t="shared" si="124"/>
        <v xml:space="preserve">DAC SPA </v>
      </c>
      <c r="F1698" s="13" t="s">
        <v>16</v>
      </c>
      <c r="G1698" s="15">
        <v>245.27</v>
      </c>
    </row>
    <row r="1699" spans="1:7" ht="22.5" x14ac:dyDescent="0.25">
      <c r="A1699" s="13">
        <v>14057</v>
      </c>
      <c r="B1699" s="14">
        <v>43437.435636574075</v>
      </c>
      <c r="C1699" s="13" t="s">
        <v>10</v>
      </c>
      <c r="D1699" s="13" t="str">
        <f t="shared" si="123"/>
        <v>PRODOTTI ALIMENTARI</v>
      </c>
      <c r="E1699" s="13" t="str">
        <f t="shared" si="124"/>
        <v xml:space="preserve">DAC SPA </v>
      </c>
      <c r="F1699" s="13" t="s">
        <v>16</v>
      </c>
      <c r="G1699" s="15">
        <v>5.25</v>
      </c>
    </row>
    <row r="1700" spans="1:7" ht="22.5" x14ac:dyDescent="0.25">
      <c r="A1700" s="13">
        <v>14058</v>
      </c>
      <c r="B1700" s="14">
        <v>43437.435636574075</v>
      </c>
      <c r="C1700" s="13" t="s">
        <v>10</v>
      </c>
      <c r="D1700" s="13" t="str">
        <f t="shared" si="123"/>
        <v>PRODOTTI ALIMENTARI</v>
      </c>
      <c r="E1700" s="13" t="str">
        <f t="shared" si="124"/>
        <v xml:space="preserve">DAC SPA </v>
      </c>
      <c r="F1700" s="13" t="s">
        <v>16</v>
      </c>
      <c r="G1700" s="15">
        <v>74.599999999999994</v>
      </c>
    </row>
    <row r="1701" spans="1:7" ht="22.5" x14ac:dyDescent="0.25">
      <c r="A1701" s="13">
        <v>14059</v>
      </c>
      <c r="B1701" s="14">
        <v>43437.435636574075</v>
      </c>
      <c r="C1701" s="13" t="s">
        <v>10</v>
      </c>
      <c r="D1701" s="13" t="str">
        <f t="shared" si="123"/>
        <v>PRODOTTI ALIMENTARI</v>
      </c>
      <c r="E1701" s="13" t="str">
        <f t="shared" si="124"/>
        <v xml:space="preserve">DAC SPA </v>
      </c>
      <c r="F1701" s="13" t="s">
        <v>16</v>
      </c>
      <c r="G1701" s="15">
        <v>231.92</v>
      </c>
    </row>
    <row r="1702" spans="1:7" ht="22.5" x14ac:dyDescent="0.25">
      <c r="A1702" s="13">
        <v>14060</v>
      </c>
      <c r="B1702" s="14">
        <v>43437.435636574075</v>
      </c>
      <c r="C1702" s="13" t="s">
        <v>10</v>
      </c>
      <c r="D1702" s="13" t="str">
        <f t="shared" si="123"/>
        <v>PRODOTTI ALIMENTARI</v>
      </c>
      <c r="E1702" s="13" t="str">
        <f t="shared" si="124"/>
        <v xml:space="preserve">DAC SPA </v>
      </c>
      <c r="F1702" s="13" t="s">
        <v>16</v>
      </c>
      <c r="G1702" s="15">
        <v>478.17</v>
      </c>
    </row>
    <row r="1703" spans="1:7" ht="22.5" x14ac:dyDescent="0.25">
      <c r="A1703" s="13">
        <v>14061</v>
      </c>
      <c r="B1703" s="14">
        <v>43437.435636574075</v>
      </c>
      <c r="C1703" s="13" t="s">
        <v>10</v>
      </c>
      <c r="D1703" s="13" t="str">
        <f t="shared" si="123"/>
        <v>PRODOTTI ALIMENTARI</v>
      </c>
      <c r="E1703" s="13" t="str">
        <f t="shared" si="124"/>
        <v xml:space="preserve">DAC SPA </v>
      </c>
      <c r="F1703" s="13" t="s">
        <v>16</v>
      </c>
      <c r="G1703" s="15">
        <v>634.75</v>
      </c>
    </row>
    <row r="1704" spans="1:7" ht="22.5" x14ac:dyDescent="0.25">
      <c r="A1704" s="13">
        <v>14062</v>
      </c>
      <c r="B1704" s="14">
        <v>43437.435636574075</v>
      </c>
      <c r="C1704" s="13" t="s">
        <v>10</v>
      </c>
      <c r="D1704" s="13" t="str">
        <f t="shared" si="123"/>
        <v>PRODOTTI ALIMENTARI</v>
      </c>
      <c r="E1704" s="13" t="str">
        <f t="shared" si="124"/>
        <v xml:space="preserve">DAC SPA </v>
      </c>
      <c r="F1704" s="13" t="s">
        <v>16</v>
      </c>
      <c r="G1704" s="15">
        <v>282</v>
      </c>
    </row>
    <row r="1705" spans="1:7" ht="22.5" x14ac:dyDescent="0.25">
      <c r="A1705" s="13">
        <v>14063</v>
      </c>
      <c r="B1705" s="14">
        <v>43437.435636574075</v>
      </c>
      <c r="C1705" s="13" t="s">
        <v>10</v>
      </c>
      <c r="D1705" s="13" t="str">
        <f t="shared" si="123"/>
        <v>PRODOTTI ALIMENTARI</v>
      </c>
      <c r="E1705" s="13" t="str">
        <f t="shared" si="124"/>
        <v xml:space="preserve">DAC SPA </v>
      </c>
      <c r="F1705" s="13" t="s">
        <v>16</v>
      </c>
      <c r="G1705" s="15">
        <v>403.13</v>
      </c>
    </row>
    <row r="1706" spans="1:7" ht="22.5" x14ac:dyDescent="0.25">
      <c r="A1706" s="13">
        <v>14064</v>
      </c>
      <c r="B1706" s="14">
        <v>43437.435636574075</v>
      </c>
      <c r="C1706" s="13" t="s">
        <v>10</v>
      </c>
      <c r="D1706" s="13" t="str">
        <f t="shared" si="123"/>
        <v>PRODOTTI ALIMENTARI</v>
      </c>
      <c r="E1706" s="13" t="str">
        <f t="shared" si="124"/>
        <v xml:space="preserve">DAC SPA </v>
      </c>
      <c r="F1706" s="13" t="s">
        <v>16</v>
      </c>
      <c r="G1706" s="15">
        <v>163.09</v>
      </c>
    </row>
    <row r="1707" spans="1:7" ht="22.5" x14ac:dyDescent="0.25">
      <c r="A1707" s="13">
        <v>14065</v>
      </c>
      <c r="B1707" s="14">
        <v>43437.435636574075</v>
      </c>
      <c r="C1707" s="13" t="s">
        <v>10</v>
      </c>
      <c r="D1707" s="13" t="str">
        <f t="shared" si="123"/>
        <v>PRODOTTI ALIMENTARI</v>
      </c>
      <c r="E1707" s="13" t="str">
        <f t="shared" si="124"/>
        <v xml:space="preserve">DAC SPA </v>
      </c>
      <c r="F1707" s="13" t="s">
        <v>16</v>
      </c>
      <c r="G1707" s="15">
        <v>256.54000000000002</v>
      </c>
    </row>
    <row r="1708" spans="1:7" ht="22.5" x14ac:dyDescent="0.25">
      <c r="A1708" s="13">
        <v>14066</v>
      </c>
      <c r="B1708" s="14">
        <v>43437.435636574075</v>
      </c>
      <c r="C1708" s="13" t="s">
        <v>10</v>
      </c>
      <c r="D1708" s="13" t="str">
        <f t="shared" si="123"/>
        <v>PRODOTTI ALIMENTARI</v>
      </c>
      <c r="E1708" s="13" t="str">
        <f t="shared" si="124"/>
        <v xml:space="preserve">DAC SPA </v>
      </c>
      <c r="F1708" s="13" t="s">
        <v>16</v>
      </c>
      <c r="G1708" s="15">
        <v>520.28</v>
      </c>
    </row>
    <row r="1709" spans="1:7" ht="22.5" x14ac:dyDescent="0.25">
      <c r="A1709" s="13">
        <v>14067</v>
      </c>
      <c r="B1709" s="14">
        <v>43437.435636574075</v>
      </c>
      <c r="C1709" s="13" t="s">
        <v>10</v>
      </c>
      <c r="D1709" s="13" t="str">
        <f t="shared" si="123"/>
        <v>PRODOTTI ALIMENTARI</v>
      </c>
      <c r="E1709" s="13" t="str">
        <f t="shared" si="124"/>
        <v xml:space="preserve">DAC SPA </v>
      </c>
      <c r="F1709" s="13" t="s">
        <v>16</v>
      </c>
      <c r="G1709" s="15">
        <v>47.44</v>
      </c>
    </row>
    <row r="1710" spans="1:7" ht="22.5" x14ac:dyDescent="0.25">
      <c r="A1710" s="13">
        <v>14068</v>
      </c>
      <c r="B1710" s="14">
        <v>43437.435636574075</v>
      </c>
      <c r="C1710" s="13" t="s">
        <v>10</v>
      </c>
      <c r="D1710" s="13" t="str">
        <f t="shared" si="123"/>
        <v>PRODOTTI ALIMENTARI</v>
      </c>
      <c r="E1710" s="13" t="str">
        <f t="shared" si="124"/>
        <v xml:space="preserve">DAC SPA </v>
      </c>
      <c r="F1710" s="13" t="s">
        <v>16</v>
      </c>
      <c r="G1710" s="15">
        <v>244.02</v>
      </c>
    </row>
    <row r="1711" spans="1:7" ht="22.5" x14ac:dyDescent="0.25">
      <c r="A1711" s="13">
        <v>14069</v>
      </c>
      <c r="B1711" s="14">
        <v>43437.435682870368</v>
      </c>
      <c r="C1711" s="13" t="s">
        <v>10</v>
      </c>
      <c r="D1711" s="13" t="str">
        <f>"FT RIC AC - CA SAS DI DEN HOLLANDER F. &amp; C."</f>
        <v>FT RIC AC - CA SAS DI DEN HOLLANDER F. &amp; C.</v>
      </c>
      <c r="E1711" s="13" t="str">
        <f>"AC - CA SAS di Den Hollander F. &amp; C."</f>
        <v>AC - CA SAS di Den Hollander F. &amp; C.</v>
      </c>
      <c r="F1711" s="13" t="s">
        <v>17</v>
      </c>
      <c r="G1711" s="15">
        <v>2000</v>
      </c>
    </row>
    <row r="1712" spans="1:7" ht="22.5" x14ac:dyDescent="0.25">
      <c r="A1712" s="13">
        <v>14070</v>
      </c>
      <c r="B1712" s="14">
        <v>43437.435729166667</v>
      </c>
      <c r="C1712" s="13" t="s">
        <v>10</v>
      </c>
      <c r="D1712" s="13" t="str">
        <f>"PRODOTTI ALIMENTARI"</f>
        <v>PRODOTTI ALIMENTARI</v>
      </c>
      <c r="E1712" s="13" t="str">
        <f>"ABBOTT SRL a Socio Unico"</f>
        <v>ABBOTT SRL a Socio Unico</v>
      </c>
      <c r="F1712" s="13" t="s">
        <v>16</v>
      </c>
      <c r="G1712" s="15">
        <v>450</v>
      </c>
    </row>
    <row r="1713" spans="1:7" ht="22.5" x14ac:dyDescent="0.25">
      <c r="A1713" s="13">
        <v>14071</v>
      </c>
      <c r="B1713" s="14">
        <v>43437.435763888891</v>
      </c>
      <c r="C1713" s="13" t="s">
        <v>10</v>
      </c>
      <c r="D1713" s="13" t="str">
        <f>"PRODOTTI ALIMENTARI"</f>
        <v>PRODOTTI ALIMENTARI</v>
      </c>
      <c r="E1713" s="13" t="str">
        <f>"ABBOTT SRL a Socio Unico"</f>
        <v>ABBOTT SRL a Socio Unico</v>
      </c>
      <c r="F1713" s="13" t="s">
        <v>16</v>
      </c>
      <c r="G1713" s="15">
        <v>74.52</v>
      </c>
    </row>
    <row r="1714" spans="1:7" ht="22.5" x14ac:dyDescent="0.25">
      <c r="A1714" s="13">
        <v>14072</v>
      </c>
      <c r="B1714" s="14">
        <v>43437.435798611114</v>
      </c>
      <c r="C1714" s="13" t="s">
        <v>10</v>
      </c>
      <c r="D1714" s="13" t="str">
        <f>"ENERGIA ELETTRICA"</f>
        <v>ENERGIA ELETTRICA</v>
      </c>
      <c r="E1714" s="13" t="str">
        <f>"A2A ENERGIA SPA"</f>
        <v>A2A ENERGIA SPA</v>
      </c>
      <c r="F1714" s="13" t="s">
        <v>26</v>
      </c>
      <c r="G1714" s="15">
        <v>36.979999999999997</v>
      </c>
    </row>
    <row r="1715" spans="1:7" ht="22.5" x14ac:dyDescent="0.25">
      <c r="A1715" s="13">
        <v>14073</v>
      </c>
      <c r="B1715" s="14">
        <v>43437.435844907406</v>
      </c>
      <c r="C1715" s="13" t="s">
        <v>10</v>
      </c>
      <c r="D1715" s="13" t="str">
        <f>"ENERGIA ELETTRICA"</f>
        <v>ENERGIA ELETTRICA</v>
      </c>
      <c r="E1715" s="13" t="str">
        <f>"IREN MERCATO SPA"</f>
        <v>IREN MERCATO SPA</v>
      </c>
      <c r="F1715" s="13" t="s">
        <v>26</v>
      </c>
      <c r="G1715" s="15">
        <v>25770.36</v>
      </c>
    </row>
    <row r="1716" spans="1:7" ht="22.5" x14ac:dyDescent="0.25">
      <c r="A1716" s="13">
        <v>14074</v>
      </c>
      <c r="B1716" s="14">
        <v>43437.435879629629</v>
      </c>
      <c r="C1716" s="13" t="s">
        <v>10</v>
      </c>
      <c r="D1716" s="13" t="str">
        <f>"ENERGIA ELETTRICA"</f>
        <v>ENERGIA ELETTRICA</v>
      </c>
      <c r="E1716" s="13" t="str">
        <f>"IREN MERCATO SPA"</f>
        <v>IREN MERCATO SPA</v>
      </c>
      <c r="F1716" s="13" t="s">
        <v>26</v>
      </c>
      <c r="G1716" s="15">
        <v>21758.15</v>
      </c>
    </row>
    <row r="1717" spans="1:7" ht="22.5" x14ac:dyDescent="0.25">
      <c r="A1717" s="13">
        <v>14075</v>
      </c>
      <c r="B1717" s="14">
        <v>43437.435937499999</v>
      </c>
      <c r="C1717" s="13" t="s">
        <v>10</v>
      </c>
      <c r="D1717" s="13" t="str">
        <f>"DEPOSITI CAUZIONALI CONVITTO"</f>
        <v>DEPOSITI CAUZIONALI CONVITTO</v>
      </c>
      <c r="E1717" s="13" t="str">
        <f>"LAMBERTI ASSUNTA"</f>
        <v>LAMBERTI ASSUNTA</v>
      </c>
      <c r="F1717" s="13" t="str">
        <f>"Restituzione deposito cauzionale"</f>
        <v>Restituzione deposito cauzionale</v>
      </c>
      <c r="G1717" s="15">
        <v>150</v>
      </c>
    </row>
    <row r="1718" spans="1:7" ht="33.75" x14ac:dyDescent="0.25">
      <c r="A1718" s="13">
        <v>14076</v>
      </c>
      <c r="B1718" s="14">
        <v>43437.435983796298</v>
      </c>
      <c r="C1718" s="13" t="s">
        <v>11</v>
      </c>
      <c r="D1718" s="13" t="str">
        <f>"FONDO RISCHI PER COPERTURA DIRETTA DEI RISCHI (AUTOASSICURAZIONE)"</f>
        <v>FONDO RISCHI PER COPERTURA DIRETTA DEI RISCHI (AUTOASSICURAZIONE)</v>
      </c>
      <c r="E1718" s="13" t="str">
        <f>"LAURIA FRANCESCO"</f>
        <v>LAURIA FRANCESCO</v>
      </c>
      <c r="F1718" s="13" t="str">
        <f>"SPESE LEGALI"</f>
        <v>SPESE LEGALI</v>
      </c>
      <c r="G1718" s="15">
        <v>465.38</v>
      </c>
    </row>
    <row r="1719" spans="1:7" ht="22.5" x14ac:dyDescent="0.25">
      <c r="A1719" s="13">
        <v>14077</v>
      </c>
      <c r="B1719" s="14">
        <v>43437.436018518521</v>
      </c>
      <c r="C1719" s="13" t="s">
        <v>10</v>
      </c>
      <c r="D1719" s="13" t="str">
        <f>"DEPOSITI CAUZIONALI ARMADIETTO/BADGE"</f>
        <v>DEPOSITI CAUZIONALI ARMADIETTO/BADGE</v>
      </c>
      <c r="E1719" s="13" t="str">
        <f>"LAMBRI PIETRO"</f>
        <v>LAMBRI PIETRO</v>
      </c>
      <c r="F1719" s="13" t="str">
        <f>"Restituzione deposito cauzionale"</f>
        <v>Restituzione deposito cauzionale</v>
      </c>
      <c r="G1719" s="15">
        <v>90</v>
      </c>
    </row>
    <row r="1720" spans="1:7" ht="22.5" x14ac:dyDescent="0.25">
      <c r="A1720" s="13">
        <v>14078</v>
      </c>
      <c r="B1720" s="14">
        <v>43437.436122685183</v>
      </c>
      <c r="C1720" s="13" t="s">
        <v>11</v>
      </c>
      <c r="D1720" s="13" t="str">
        <f>"RISCONTI SU ASSICURAZIONI"</f>
        <v>RISCONTI SU ASSICURAZIONI</v>
      </c>
      <c r="E1720" s="13" t="str">
        <f>"ITAL BROKERS SPA"</f>
        <v>ITAL BROKERS SPA</v>
      </c>
      <c r="F1720" s="13" t="str">
        <f>"ASSICURAZIONI"</f>
        <v>ASSICURAZIONI</v>
      </c>
      <c r="G1720" s="15">
        <v>832500</v>
      </c>
    </row>
    <row r="1721" spans="1:7" ht="22.5" x14ac:dyDescent="0.25">
      <c r="A1721" s="13">
        <v>14079</v>
      </c>
      <c r="B1721" s="14">
        <v>43437.436157407406</v>
      </c>
      <c r="C1721" s="13" t="s">
        <v>10</v>
      </c>
      <c r="D1721" s="13" t="str">
        <f>"CONTO MIGRAZIONE PARTITE PASSIVE"</f>
        <v>CONTO MIGRAZIONE PARTITE PASSIVE</v>
      </c>
      <c r="E1721" s="13" t="str">
        <f>"ASST NORD OPERAZIONI DI CONFERIMENTO/SCORPORO LR23/2015"</f>
        <v>ASST NORD OPERAZIONI DI CONFERIMENTO/SCORPORO LR23/2015</v>
      </c>
      <c r="F1721" s="13" t="str">
        <f>"ASST OPERAZIONE SCORPORO"</f>
        <v>ASST OPERAZIONE SCORPORO</v>
      </c>
      <c r="G1721" s="15">
        <v>656329.43999999994</v>
      </c>
    </row>
    <row r="1722" spans="1:7" ht="22.5" x14ac:dyDescent="0.25">
      <c r="A1722" s="13">
        <v>14080</v>
      </c>
      <c r="B1722" s="14">
        <v>43437.436180555553</v>
      </c>
      <c r="C1722" s="13" t="s">
        <v>10</v>
      </c>
      <c r="D1722" s="13" t="str">
        <f>"CONSULENZE SANITARIE DA PRIVATO"</f>
        <v>CONSULENZE SANITARIE DA PRIVATO</v>
      </c>
      <c r="E1722" s="13" t="str">
        <f>"CASARI SILVIA GABRIELLA"</f>
        <v>CASARI SILVIA GABRIELLA</v>
      </c>
      <c r="F1722" s="13" t="str">
        <f>"CONS.CO.CO.,INTER.DA STUTT.SANIT.DA PRIV"</f>
        <v>CONS.CO.CO.,INTER.DA STUTT.SANIT.DA PRIV</v>
      </c>
      <c r="G1722" s="15">
        <v>3452.8</v>
      </c>
    </row>
    <row r="1723" spans="1:7" ht="22.5" x14ac:dyDescent="0.25">
      <c r="A1723" s="13">
        <v>14081</v>
      </c>
      <c r="B1723" s="14">
        <v>43437.436215277776</v>
      </c>
      <c r="C1723" s="13" t="s">
        <v>11</v>
      </c>
      <c r="D1723" s="13" t="str">
        <f>"FONDO RISCHI"</f>
        <v>FONDO RISCHI</v>
      </c>
      <c r="E1723" s="13" t="str">
        <f>"SZA STUDIO LEGALE"</f>
        <v>SZA STUDIO LEGALE</v>
      </c>
      <c r="F1723" s="13" t="str">
        <f>"SPESE LEGALI"</f>
        <v>SPESE LEGALI</v>
      </c>
      <c r="G1723" s="15">
        <v>1237.67</v>
      </c>
    </row>
    <row r="1724" spans="1:7" ht="22.5" x14ac:dyDescent="0.25">
      <c r="A1724" s="13">
        <v>14082</v>
      </c>
      <c r="B1724" s="14">
        <v>43437.436261574076</v>
      </c>
      <c r="C1724" s="13" t="s">
        <v>10</v>
      </c>
      <c r="D1724" s="13" t="str">
        <f>"PRESTAZIONI SANITARIE DA ASST/ATS REGIONE"</f>
        <v>PRESTAZIONI SANITARIE DA ASST/ATS REGIONE</v>
      </c>
      <c r="E1724" s="13" t="str">
        <f>"ASST NORD MILANO"</f>
        <v>ASST NORD MILANO</v>
      </c>
      <c r="F1724" s="13" t="s">
        <v>24</v>
      </c>
      <c r="G1724" s="15">
        <v>6744.86</v>
      </c>
    </row>
    <row r="1725" spans="1:7" ht="22.5" x14ac:dyDescent="0.25">
      <c r="A1725" s="13">
        <v>14083</v>
      </c>
      <c r="B1725" s="14">
        <v>43437.436331018522</v>
      </c>
      <c r="C1725" s="13" t="s">
        <v>10</v>
      </c>
      <c r="D1725" s="13" t="str">
        <f>"TELEFONO"</f>
        <v>TELEFONO</v>
      </c>
      <c r="E1725" s="13" t="str">
        <f>"TELECOM ITALIA SPA"</f>
        <v>TELECOM ITALIA SPA</v>
      </c>
      <c r="F1725" s="13" t="s">
        <v>20</v>
      </c>
      <c r="G1725" s="15">
        <v>6206.48</v>
      </c>
    </row>
    <row r="1726" spans="1:7" ht="22.5" x14ac:dyDescent="0.25">
      <c r="A1726" s="13">
        <v>14084</v>
      </c>
      <c r="B1726" s="14">
        <v>43437.436365740738</v>
      </c>
      <c r="C1726" s="13" t="s">
        <v>10</v>
      </c>
      <c r="D1726" s="13" t="str">
        <f>"GAS PER RISCALDAMENTO"</f>
        <v>GAS PER RISCALDAMENTO</v>
      </c>
      <c r="E1726" s="13" t="str">
        <f>"SOENERGY SRL"</f>
        <v>SOENERGY SRL</v>
      </c>
      <c r="F1726" s="13" t="s">
        <v>33</v>
      </c>
      <c r="G1726" s="15">
        <v>2.0699999999999998</v>
      </c>
    </row>
    <row r="1727" spans="1:7" ht="22.5" x14ac:dyDescent="0.25">
      <c r="A1727" s="13">
        <v>14085</v>
      </c>
      <c r="B1727" s="14">
        <v>43437.436365740738</v>
      </c>
      <c r="C1727" s="13" t="s">
        <v>10</v>
      </c>
      <c r="D1727" s="13" t="str">
        <f>"GAS PER RISCALDAMENTO"</f>
        <v>GAS PER RISCALDAMENTO</v>
      </c>
      <c r="E1727" s="13" t="str">
        <f>"SOENERGY SRL"</f>
        <v>SOENERGY SRL</v>
      </c>
      <c r="F1727" s="13" t="s">
        <v>33</v>
      </c>
      <c r="G1727" s="15">
        <v>2.19</v>
      </c>
    </row>
    <row r="1728" spans="1:7" ht="33.75" x14ac:dyDescent="0.25">
      <c r="A1728" s="13">
        <v>14086</v>
      </c>
      <c r="B1728" s="14">
        <v>43438.635891203703</v>
      </c>
      <c r="C1728" s="13" t="s">
        <v>11</v>
      </c>
      <c r="D1728" s="13" t="str">
        <f>"CONTRIBUTI OBBLIGATORI PER IL PERSONALE A TEMPO INDETERMINATO"</f>
        <v>CONTRIBUTI OBBLIGATORI PER IL PERSONALE A TEMPO INDETERMINATO</v>
      </c>
      <c r="E1728" s="13" t="str">
        <f>"FONDO PENSIONE PERSEO"</f>
        <v>FONDO PENSIONE PERSEO</v>
      </c>
      <c r="F1728" s="13" t="s">
        <v>18</v>
      </c>
      <c r="G1728" s="15">
        <v>295.38</v>
      </c>
    </row>
    <row r="1729" spans="1:7" ht="45" x14ac:dyDescent="0.25">
      <c r="A1729" s="13">
        <v>14087</v>
      </c>
      <c r="B1729" s="14">
        <v>43438.635891203703</v>
      </c>
      <c r="C1729" s="13" t="s">
        <v>11</v>
      </c>
      <c r="D1729" s="13" t="str">
        <f>"CONTRIBUTI PREVIDENZIALI E ASSISTENZIALI SUI COMPENSI AI MEDICI SPECIALISTI AMBULATORIALI"</f>
        <v>CONTRIBUTI PREVIDENZIALI E ASSISTENZIALI SUI COMPENSI AI MEDICI SPECIALISTI AMBULATORIALI</v>
      </c>
      <c r="E1729" s="13" t="str">
        <f>"E.N.P.A.M."</f>
        <v>E.N.P.A.M.</v>
      </c>
      <c r="F1729" s="13" t="s">
        <v>18</v>
      </c>
      <c r="G1729" s="15">
        <v>625.04</v>
      </c>
    </row>
    <row r="1730" spans="1:7" ht="33.75" x14ac:dyDescent="0.25">
      <c r="A1730" s="13">
        <v>14088</v>
      </c>
      <c r="B1730" s="14">
        <v>43438.635891203703</v>
      </c>
      <c r="C1730" s="13" t="s">
        <v>11</v>
      </c>
      <c r="D1730" s="13" t="str">
        <f>"RITENUTE PREVIDENZIALI E ASSISTENZIALI AL PERSONALE A TEMPO INDETERMINATO"</f>
        <v>RITENUTE PREVIDENZIALI E ASSISTENZIALI AL PERSONALE A TEMPO INDETERMINATO</v>
      </c>
      <c r="E1730" s="13" t="str">
        <f>"FONDO PENSIONE PERSEO"</f>
        <v>FONDO PENSIONE PERSEO</v>
      </c>
      <c r="F1730" s="13" t="s">
        <v>18</v>
      </c>
      <c r="G1730" s="15">
        <v>370.02</v>
      </c>
    </row>
    <row r="1731" spans="1:7" ht="56.25" x14ac:dyDescent="0.25">
      <c r="A1731" s="13">
        <v>14089</v>
      </c>
      <c r="B1731" s="14">
        <v>43440.463425925926</v>
      </c>
      <c r="C1731" s="13" t="s">
        <v>11</v>
      </c>
      <c r="D1731" s="13" t="str">
        <f>"INDENNITÀ, RIMBORSO SPESE E ONERI SOCIALI PER IL DIRETTORE GENERALE, SANITARIO, AMMINISTRATIVO E COLLEGIO SINDACALE V/ATS - ASST REGIONE"</f>
        <v>INDENNITÀ, RIMBORSO SPESE E ONERI SOCIALI PER IL DIRETTORE GENERALE, SANITARIO, AMMINISTRATIVO E COLLEGIO SINDACALE V/ATS - ASST REGIONE</v>
      </c>
      <c r="E1731" s="13" t="str">
        <f>"ASST DI VIMERCATE"</f>
        <v>ASST DI VIMERCATE</v>
      </c>
      <c r="F1731" s="13" t="s">
        <v>24</v>
      </c>
      <c r="G1731" s="15">
        <v>23867.18</v>
      </c>
    </row>
    <row r="1732" spans="1:7" ht="56.25" x14ac:dyDescent="0.25">
      <c r="A1732" s="13">
        <v>14090</v>
      </c>
      <c r="B1732" s="14">
        <v>43440.463425925926</v>
      </c>
      <c r="C1732" s="13" t="s">
        <v>10</v>
      </c>
      <c r="D1732" s="13" t="str">
        <f>"INDENNITÀ, RIMBORSO SPESE E ONERI SOCIALI PER IL DIRETTORE GENERALE, SANITARIO, AMMINISTRATIVO E COLLEGIO SINDACALE V/ATS - ASST REGIONE"</f>
        <v>INDENNITÀ, RIMBORSO SPESE E ONERI SOCIALI PER IL DIRETTORE GENERALE, SANITARIO, AMMINISTRATIVO E COLLEGIO SINDACALE V/ATS - ASST REGIONE</v>
      </c>
      <c r="E1732" s="13" t="str">
        <f>"ASST NORD MILANO"</f>
        <v>ASST NORD MILANO</v>
      </c>
      <c r="F1732" s="13" t="s">
        <v>24</v>
      </c>
      <c r="G1732" s="15">
        <v>3992.91</v>
      </c>
    </row>
    <row r="1733" spans="1:7" ht="56.25" x14ac:dyDescent="0.25">
      <c r="A1733" s="13">
        <v>14091</v>
      </c>
      <c r="B1733" s="14">
        <v>43440.463425925926</v>
      </c>
      <c r="C1733" s="13" t="s">
        <v>10</v>
      </c>
      <c r="D1733" s="13" t="str">
        <f>"INDENNITÀ, RIMBORSO SPESE E ONERI SOCIALI PER IL DIRETTORE GENERALE, SANITARIO, AMMINISTRATIVO E COLLEGIO SINDACALE V/ATS - ASST REGIONE"</f>
        <v>INDENNITÀ, RIMBORSO SPESE E ONERI SOCIALI PER IL DIRETTORE GENERALE, SANITARIO, AMMINISTRATIVO E COLLEGIO SINDACALE V/ATS - ASST REGIONE</v>
      </c>
      <c r="E1733" s="13" t="str">
        <f>"ASST NORD MILANO"</f>
        <v>ASST NORD MILANO</v>
      </c>
      <c r="F1733" s="13" t="s">
        <v>24</v>
      </c>
      <c r="G1733" s="15">
        <v>3992.91</v>
      </c>
    </row>
    <row r="1734" spans="1:7" ht="56.25" x14ac:dyDescent="0.25">
      <c r="A1734" s="13">
        <v>14092</v>
      </c>
      <c r="B1734" s="14">
        <v>43440.463425925926</v>
      </c>
      <c r="C1734" s="13" t="s">
        <v>10</v>
      </c>
      <c r="D1734" s="13" t="str">
        <f>"INDENNITÀ, RIMBORSO SPESE E ONERI SOCIALI PER IL DIRETTORE GENERALE, SANITARIO, AMMINISTRATIVO E COLLEGIO SINDACALE V/ATS - ASST REGIONE"</f>
        <v>INDENNITÀ, RIMBORSO SPESE E ONERI SOCIALI PER IL DIRETTORE GENERALE, SANITARIO, AMMINISTRATIVO E COLLEGIO SINDACALE V/ATS - ASST REGIONE</v>
      </c>
      <c r="E1734" s="13" t="str">
        <f>"ASST NORD MILANO"</f>
        <v>ASST NORD MILANO</v>
      </c>
      <c r="F1734" s="13" t="s">
        <v>24</v>
      </c>
      <c r="G1734" s="15">
        <v>3992.91</v>
      </c>
    </row>
    <row r="1735" spans="1:7" ht="22.5" x14ac:dyDescent="0.25">
      <c r="A1735" s="13">
        <v>14093</v>
      </c>
      <c r="B1735" s="14">
        <v>43440.463437500002</v>
      </c>
      <c r="C1735" s="13" t="s">
        <v>10</v>
      </c>
      <c r="D1735" s="13" t="str">
        <f>"ACQUA GAS RAI TV"</f>
        <v>ACQUA GAS RAI TV</v>
      </c>
      <c r="E1735" s="13" t="str">
        <f>"SOENERGY SRL"</f>
        <v>SOENERGY SRL</v>
      </c>
      <c r="F1735" s="13" t="s">
        <v>19</v>
      </c>
      <c r="G1735" s="15">
        <v>5.17</v>
      </c>
    </row>
    <row r="1736" spans="1:7" ht="22.5" x14ac:dyDescent="0.25">
      <c r="A1736" s="13">
        <v>14094</v>
      </c>
      <c r="B1736" s="14">
        <v>43440.463437500002</v>
      </c>
      <c r="C1736" s="13" t="s">
        <v>10</v>
      </c>
      <c r="D1736" s="13" t="str">
        <f>"ACQUA GAS RAI TV"</f>
        <v>ACQUA GAS RAI TV</v>
      </c>
      <c r="E1736" s="13" t="str">
        <f>"SOENERGY SRL"</f>
        <v>SOENERGY SRL</v>
      </c>
      <c r="F1736" s="13" t="s">
        <v>19</v>
      </c>
      <c r="G1736" s="15">
        <v>2.88</v>
      </c>
    </row>
    <row r="1737" spans="1:7" ht="33.75" x14ac:dyDescent="0.25">
      <c r="A1737" s="13">
        <v>14095</v>
      </c>
      <c r="B1737" s="14">
        <v>43440.463437500002</v>
      </c>
      <c r="C1737" s="13" t="s">
        <v>11</v>
      </c>
      <c r="D1737" s="13" t="str">
        <f>"FONDO RISCHI PER COPERTURA DIRETTA DEI RISCHI (AUTOASSICURAZIONE)"</f>
        <v>FONDO RISCHI PER COPERTURA DIRETTA DEI RISCHI (AUTOASSICURAZIONE)</v>
      </c>
      <c r="E1737" s="13" t="str">
        <f>"CAROZZI CANTAMESSE SARA"</f>
        <v>CAROZZI CANTAMESSE SARA</v>
      </c>
      <c r="F1737" s="13" t="s">
        <v>15</v>
      </c>
      <c r="G1737" s="15">
        <v>15000</v>
      </c>
    </row>
    <row r="1738" spans="1:7" ht="33.75" x14ac:dyDescent="0.25">
      <c r="A1738" s="13">
        <v>14096</v>
      </c>
      <c r="B1738" s="14">
        <v>43440.463437500002</v>
      </c>
      <c r="C1738" s="13" t="s">
        <v>11</v>
      </c>
      <c r="D1738" s="13" t="str">
        <f>"FONDO RISCHI PER COPERTURA DIRETTA DEI RISCHI (AUTOASSICURAZIONE)"</f>
        <v>FONDO RISCHI PER COPERTURA DIRETTA DEI RISCHI (AUTOASSICURAZIONE)</v>
      </c>
      <c r="E1738" s="13" t="str">
        <f>"AURELIO ISACCHI"</f>
        <v>AURELIO ISACCHI</v>
      </c>
      <c r="F1738" s="13" t="str">
        <f>"SPESE LEGALI"</f>
        <v>SPESE LEGALI</v>
      </c>
      <c r="G1738" s="15">
        <v>1463.91</v>
      </c>
    </row>
    <row r="1739" spans="1:7" ht="22.5" x14ac:dyDescent="0.25">
      <c r="A1739" s="13">
        <v>14097</v>
      </c>
      <c r="B1739" s="14">
        <v>43440.463437500002</v>
      </c>
      <c r="C1739" s="13" t="s">
        <v>10</v>
      </c>
      <c r="D1739" s="13" t="str">
        <f>"FORMAZIONE PERSONALE DA PRIVATO"</f>
        <v>FORMAZIONE PERSONALE DA PRIVATO</v>
      </c>
      <c r="E1739" s="13" t="str">
        <f>"BLSD EUROPA SRL"</f>
        <v>BLSD EUROPA SRL</v>
      </c>
      <c r="F1739" s="13" t="s">
        <v>27</v>
      </c>
      <c r="G1739" s="15">
        <v>700</v>
      </c>
    </row>
    <row r="1740" spans="1:7" ht="22.5" x14ac:dyDescent="0.25">
      <c r="A1740" s="13">
        <v>14098</v>
      </c>
      <c r="B1740" s="14">
        <v>43440.463437500002</v>
      </c>
      <c r="C1740" s="13" t="s">
        <v>10</v>
      </c>
      <c r="D1740" s="13" t="str">
        <f>"FORMAZIONE PERSONALE DA PRIVATO"</f>
        <v>FORMAZIONE PERSONALE DA PRIVATO</v>
      </c>
      <c r="E1740" s="13" t="str">
        <f>"EBIT SRL"</f>
        <v>EBIT SRL</v>
      </c>
      <c r="F1740" s="13" t="s">
        <v>27</v>
      </c>
      <c r="G1740" s="15">
        <v>3800</v>
      </c>
    </row>
    <row r="1741" spans="1:7" ht="22.5" x14ac:dyDescent="0.25">
      <c r="A1741" s="13">
        <v>14099</v>
      </c>
      <c r="B1741" s="14">
        <v>43440.463437500002</v>
      </c>
      <c r="C1741" s="13" t="s">
        <v>10</v>
      </c>
      <c r="D1741" s="13" t="str">
        <f>"GAS PER RISCALDAMENTO"</f>
        <v>GAS PER RISCALDAMENTO</v>
      </c>
      <c r="E1741" s="13" t="str">
        <f>"SOENERGY SRL"</f>
        <v>SOENERGY SRL</v>
      </c>
      <c r="F1741" s="13" t="s">
        <v>33</v>
      </c>
      <c r="G1741" s="15">
        <v>1.99</v>
      </c>
    </row>
    <row r="1742" spans="1:7" ht="22.5" x14ac:dyDescent="0.25">
      <c r="A1742" s="13">
        <v>14100</v>
      </c>
      <c r="B1742" s="14">
        <v>43440.463437500002</v>
      </c>
      <c r="C1742" s="13" t="s">
        <v>10</v>
      </c>
      <c r="D1742" s="13" t="str">
        <f>"GAS PER RISCALDAMENTO"</f>
        <v>GAS PER RISCALDAMENTO</v>
      </c>
      <c r="E1742" s="13" t="str">
        <f>"SOENERGY SRL"</f>
        <v>SOENERGY SRL</v>
      </c>
      <c r="F1742" s="13" t="s">
        <v>33</v>
      </c>
      <c r="G1742" s="15">
        <v>149.69999999999999</v>
      </c>
    </row>
    <row r="1743" spans="1:7" ht="22.5" x14ac:dyDescent="0.25">
      <c r="A1743" s="13">
        <v>14101</v>
      </c>
      <c r="B1743" s="14">
        <v>43444.653009259258</v>
      </c>
      <c r="C1743" s="13" t="s">
        <v>11</v>
      </c>
      <c r="D1743" s="13" t="str">
        <f>"TASSE COMUNALI RIFIUTI"</f>
        <v>TASSE COMUNALI RIFIUTI</v>
      </c>
      <c r="E1743" s="13" t="str">
        <f>"COMUNE DI MILANO"</f>
        <v>COMUNE DI MILANO</v>
      </c>
      <c r="F1743" s="13" t="str">
        <f>"Pagamento TARI"</f>
        <v>Pagamento TARI</v>
      </c>
      <c r="G1743" s="15">
        <v>178414</v>
      </c>
    </row>
    <row r="1744" spans="1:7" ht="22.5" x14ac:dyDescent="0.25">
      <c r="A1744" s="13">
        <v>14102</v>
      </c>
      <c r="B1744" s="14">
        <v>43444.656134259261</v>
      </c>
      <c r="C1744" s="13" t="s">
        <v>10</v>
      </c>
      <c r="D1744" s="13" t="str">
        <f>"MATERIALE PROTESICO"</f>
        <v>MATERIALE PROTESICO</v>
      </c>
      <c r="E1744" s="13" t="str">
        <f>"WRIGHT MEDICAL ITALY SRL a Socio Unico"</f>
        <v>WRIGHT MEDICAL ITALY SRL a Socio Unico</v>
      </c>
      <c r="F1744" s="13" t="s">
        <v>14</v>
      </c>
      <c r="G1744" s="15">
        <v>1471.4</v>
      </c>
    </row>
    <row r="1745" spans="1:7" ht="22.5" x14ac:dyDescent="0.25">
      <c r="A1745" s="13">
        <v>14103</v>
      </c>
      <c r="B1745" s="14">
        <v>43444.656134259261</v>
      </c>
      <c r="C1745" s="13" t="s">
        <v>10</v>
      </c>
      <c r="D1745" s="13" t="str">
        <f>"MATERIALE PROTESICO"</f>
        <v>MATERIALE PROTESICO</v>
      </c>
      <c r="E1745" s="13" t="str">
        <f>"WRIGHT MEDICAL ITALY SRL a Socio Unico"</f>
        <v>WRIGHT MEDICAL ITALY SRL a Socio Unico</v>
      </c>
      <c r="F1745" s="13" t="s">
        <v>14</v>
      </c>
      <c r="G1745" s="15">
        <v>1471.4</v>
      </c>
    </row>
    <row r="1746" spans="1:7" ht="22.5" x14ac:dyDescent="0.25">
      <c r="A1746" s="13">
        <v>14104</v>
      </c>
      <c r="B1746" s="14">
        <v>43444.656145833331</v>
      </c>
      <c r="C1746" s="13" t="s">
        <v>10</v>
      </c>
      <c r="D1746" s="13" t="str">
        <f>"ALTRI SERVIZI S.T."</f>
        <v>ALTRI SERVIZI S.T.</v>
      </c>
      <c r="E1746" s="13" t="str">
        <f>"EL.MA.M. SRL"</f>
        <v>EL.MA.M. SRL</v>
      </c>
      <c r="F1746" s="13" t="str">
        <f>"ALTRE SPESE PER SERV.NON SANITARI"</f>
        <v>ALTRE SPESE PER SERV.NON SANITARI</v>
      </c>
      <c r="G1746" s="15">
        <v>148.94999999999999</v>
      </c>
    </row>
    <row r="1747" spans="1:7" ht="22.5" x14ac:dyDescent="0.25">
      <c r="A1747" s="13">
        <v>14105</v>
      </c>
      <c r="B1747" s="14">
        <v>43444.656145833331</v>
      </c>
      <c r="C1747" s="13" t="s">
        <v>10</v>
      </c>
      <c r="D1747" s="13" t="str">
        <f>"ALTRO MATERIALE SANITARIO (SENZA CND)"</f>
        <v>ALTRO MATERIALE SANITARIO (SENZA CND)</v>
      </c>
      <c r="E1747" s="13" t="str">
        <f>"ECS SRL Unipersonale"</f>
        <v>ECS SRL Unipersonale</v>
      </c>
      <c r="F1747" s="13" t="s">
        <v>16</v>
      </c>
      <c r="G1747" s="15">
        <v>331</v>
      </c>
    </row>
    <row r="1748" spans="1:7" ht="22.5" x14ac:dyDescent="0.25">
      <c r="A1748" s="13">
        <v>14106</v>
      </c>
      <c r="B1748" s="14">
        <v>43444.656145833331</v>
      </c>
      <c r="C1748" s="13" t="s">
        <v>10</v>
      </c>
      <c r="D1748" s="13" t="str">
        <f>"CANCELLERIA E SUPPORTI MECCANOGRAFICI"</f>
        <v>CANCELLERIA E SUPPORTI MECCANOGRAFICI</v>
      </c>
      <c r="E1748" s="13" t="str">
        <f>"ERREBIAN SPA"</f>
        <v>ERREBIAN SPA</v>
      </c>
      <c r="F1748" s="13" t="s">
        <v>14</v>
      </c>
      <c r="G1748" s="15">
        <v>237.56</v>
      </c>
    </row>
    <row r="1749" spans="1:7" ht="22.5" x14ac:dyDescent="0.25">
      <c r="A1749" s="13">
        <v>14107</v>
      </c>
      <c r="B1749" s="14">
        <v>43444.656145833331</v>
      </c>
      <c r="C1749" s="13" t="s">
        <v>10</v>
      </c>
      <c r="D1749" s="13" t="str">
        <f>"DISPOSITIVI PER APPARATO CARDIOCIRCOLATORIO (C)"</f>
        <v>DISPOSITIVI PER APPARATO CARDIOCIRCOLATORIO (C)</v>
      </c>
      <c r="E1749" s="13" t="str">
        <f>"EDWARDS LIFESCIENCES ITALIA SPA"</f>
        <v>EDWARDS LIFESCIENCES ITALIA SPA</v>
      </c>
      <c r="F1749" s="13" t="s">
        <v>14</v>
      </c>
      <c r="G1749" s="15">
        <v>348</v>
      </c>
    </row>
    <row r="1750" spans="1:7" ht="22.5" x14ac:dyDescent="0.25">
      <c r="A1750" s="13">
        <v>14108</v>
      </c>
      <c r="B1750" s="14">
        <v>43444.656145833331</v>
      </c>
      <c r="C1750" s="13" t="s">
        <v>10</v>
      </c>
      <c r="D1750" s="13" t="str">
        <f>"FT RIC BENI/SERVIZI SANITARI"</f>
        <v>FT RIC BENI/SERVIZI SANITARI</v>
      </c>
      <c r="E1750" s="13" t="str">
        <f>"LIMACORPORATE SPA"</f>
        <v>LIMACORPORATE SPA</v>
      </c>
      <c r="F1750" s="13" t="s">
        <v>14</v>
      </c>
      <c r="G1750" s="15">
        <v>2155.5</v>
      </c>
    </row>
    <row r="1751" spans="1:7" ht="22.5" x14ac:dyDescent="0.25">
      <c r="A1751" s="13">
        <v>14109</v>
      </c>
      <c r="B1751" s="14">
        <v>43444.656145833331</v>
      </c>
      <c r="C1751" s="13" t="s">
        <v>10</v>
      </c>
      <c r="D1751" s="13" t="str">
        <f>"MATERIALE PROTESICO"</f>
        <v>MATERIALE PROTESICO</v>
      </c>
      <c r="E1751" s="13" t="str">
        <f>"EPISCAN SRL"</f>
        <v>EPISCAN SRL</v>
      </c>
      <c r="F1751" s="13" t="s">
        <v>14</v>
      </c>
      <c r="G1751" s="15">
        <v>40.5</v>
      </c>
    </row>
    <row r="1752" spans="1:7" ht="22.5" x14ac:dyDescent="0.25">
      <c r="A1752" s="13">
        <v>14110</v>
      </c>
      <c r="B1752" s="14">
        <v>43444.656145833331</v>
      </c>
      <c r="C1752" s="13" t="s">
        <v>10</v>
      </c>
      <c r="D1752" s="13" t="str">
        <f>"MATERIALE PROTESICO"</f>
        <v>MATERIALE PROTESICO</v>
      </c>
      <c r="E1752" s="13" t="str">
        <f>"EXACTECH ITALIA SPA"</f>
        <v>EXACTECH ITALIA SPA</v>
      </c>
      <c r="F1752" s="13" t="s">
        <v>14</v>
      </c>
      <c r="G1752" s="15">
        <v>2888</v>
      </c>
    </row>
    <row r="1753" spans="1:7" ht="33.75" x14ac:dyDescent="0.25">
      <c r="A1753" s="13">
        <v>14111</v>
      </c>
      <c r="B1753" s="14">
        <v>43444.656145833331</v>
      </c>
      <c r="C1753" s="13" t="s">
        <v>10</v>
      </c>
      <c r="D1753" s="13" t="str">
        <f>"PRESIDI MEDICO-CHIRURGICI GENERICI E AUSILI TECNICI PER DISABILI M"</f>
        <v>PRESIDI MEDICO-CHIRURGICI GENERICI E AUSILI TECNICI PER DISABILI M</v>
      </c>
      <c r="E1753" s="13" t="str">
        <f>"FARMAC - ZABBAN SPA"</f>
        <v>FARMAC - ZABBAN SPA</v>
      </c>
      <c r="F1753" s="13" t="s">
        <v>14</v>
      </c>
      <c r="G1753" s="15">
        <v>782.5</v>
      </c>
    </row>
    <row r="1754" spans="1:7" ht="22.5" x14ac:dyDescent="0.25">
      <c r="A1754" s="13">
        <v>14112</v>
      </c>
      <c r="B1754" s="14">
        <v>43444.656145833331</v>
      </c>
      <c r="C1754" s="13" t="s">
        <v>10</v>
      </c>
      <c r="D1754" s="13" t="str">
        <f>"PRODOTTI FARMACEUTICI CON AIC"</f>
        <v>PRODOTTI FARMACEUTICI CON AIC</v>
      </c>
      <c r="E1754" s="13" t="str">
        <f>"DOMPE FARMACEUTICI SPA a Socio Unico"</f>
        <v>DOMPE FARMACEUTICI SPA a Socio Unico</v>
      </c>
      <c r="F1754" s="13" t="s">
        <v>21</v>
      </c>
      <c r="G1754" s="15">
        <v>217.97</v>
      </c>
    </row>
    <row r="1755" spans="1:7" ht="22.5" x14ac:dyDescent="0.25">
      <c r="A1755" s="13">
        <v>14113</v>
      </c>
      <c r="B1755" s="14">
        <v>43444.656145833331</v>
      </c>
      <c r="C1755" s="13" t="s">
        <v>10</v>
      </c>
      <c r="D1755" s="13" t="str">
        <f>"PRODOTTI FARMACEUTICI CON AIC"</f>
        <v>PRODOTTI FARMACEUTICI CON AIC</v>
      </c>
      <c r="E1755" s="13" t="str">
        <f>"ELI LILLY ITALIA SPA"</f>
        <v>ELI LILLY ITALIA SPA</v>
      </c>
      <c r="F1755" s="13" t="s">
        <v>21</v>
      </c>
      <c r="G1755" s="15">
        <v>7618.2</v>
      </c>
    </row>
    <row r="1756" spans="1:7" ht="22.5" x14ac:dyDescent="0.25">
      <c r="A1756" s="13">
        <v>14114</v>
      </c>
      <c r="B1756" s="14">
        <v>43444.656157407408</v>
      </c>
      <c r="C1756" s="13" t="s">
        <v>10</v>
      </c>
      <c r="D1756" s="13" t="str">
        <f>"FARMACI FILE F"</f>
        <v>FARMACI FILE F</v>
      </c>
      <c r="E1756" s="13" t="str">
        <f>"GLAXOSMITHKLINE SPA Unipersonale"</f>
        <v>GLAXOSMITHKLINE SPA Unipersonale</v>
      </c>
      <c r="F1756" s="13" t="s">
        <v>14</v>
      </c>
      <c r="G1756" s="15">
        <v>8257.6</v>
      </c>
    </row>
    <row r="1757" spans="1:7" ht="22.5" x14ac:dyDescent="0.25">
      <c r="A1757" s="13">
        <v>14115</v>
      </c>
      <c r="B1757" s="14">
        <v>43444.656157407408</v>
      </c>
      <c r="C1757" s="13" t="s">
        <v>10</v>
      </c>
      <c r="D1757" s="13" t="str">
        <f>"FARMACI FILE F"</f>
        <v>FARMACI FILE F</v>
      </c>
      <c r="E1757" s="13" t="str">
        <f>"GLAXOSMITHKLINE SPA Unipersonale"</f>
        <v>GLAXOSMITHKLINE SPA Unipersonale</v>
      </c>
      <c r="F1757" s="13" t="s">
        <v>14</v>
      </c>
      <c r="G1757" s="15">
        <v>1219.49</v>
      </c>
    </row>
    <row r="1758" spans="1:7" ht="22.5" x14ac:dyDescent="0.25">
      <c r="A1758" s="13">
        <v>14116</v>
      </c>
      <c r="B1758" s="14">
        <v>43444.656157407408</v>
      </c>
      <c r="C1758" s="13" t="s">
        <v>10</v>
      </c>
      <c r="D1758" s="13" t="str">
        <f>"FARMACI FILE F"</f>
        <v>FARMACI FILE F</v>
      </c>
      <c r="E1758" s="13" t="str">
        <f>"GLAXOSMITHKLINE SPA Unipersonale"</f>
        <v>GLAXOSMITHKLINE SPA Unipersonale</v>
      </c>
      <c r="F1758" s="13" t="s">
        <v>14</v>
      </c>
      <c r="G1758" s="15">
        <v>4512.5200000000004</v>
      </c>
    </row>
    <row r="1759" spans="1:7" ht="22.5" x14ac:dyDescent="0.25">
      <c r="A1759" s="13">
        <v>14117</v>
      </c>
      <c r="B1759" s="14">
        <v>43444.656157407408</v>
      </c>
      <c r="C1759" s="13" t="s">
        <v>10</v>
      </c>
      <c r="D1759" s="13" t="str">
        <f>"MATERIALE PROTESICO"</f>
        <v>MATERIALE PROTESICO</v>
      </c>
      <c r="E1759" s="13" t="str">
        <f>"FIN - CERAMICA FAENZA SPA con Socio Unico"</f>
        <v>FIN - CERAMICA FAENZA SPA con Socio Unico</v>
      </c>
      <c r="F1759" s="13" t="s">
        <v>14</v>
      </c>
      <c r="G1759" s="15">
        <v>2350.12</v>
      </c>
    </row>
    <row r="1760" spans="1:7" ht="22.5" x14ac:dyDescent="0.25">
      <c r="A1760" s="13">
        <v>14118</v>
      </c>
      <c r="B1760" s="14">
        <v>43444.656157407408</v>
      </c>
      <c r="C1760" s="13" t="s">
        <v>10</v>
      </c>
      <c r="D1760" s="13" t="str">
        <f>"MATERIALE PROTESICO"</f>
        <v>MATERIALE PROTESICO</v>
      </c>
      <c r="E1760" s="13" t="str">
        <f>"FIN - CERAMICA FAENZA SPA con Socio Unico"</f>
        <v>FIN - CERAMICA FAENZA SPA con Socio Unico</v>
      </c>
      <c r="F1760" s="13" t="s">
        <v>14</v>
      </c>
      <c r="G1760" s="15">
        <v>2350.12</v>
      </c>
    </row>
    <row r="1761" spans="1:7" ht="22.5" x14ac:dyDescent="0.25">
      <c r="A1761" s="13">
        <v>14119</v>
      </c>
      <c r="B1761" s="14">
        <v>43444.656157407408</v>
      </c>
      <c r="C1761" s="13" t="s">
        <v>10</v>
      </c>
      <c r="D1761" s="13" t="str">
        <f>"MATERIALE PROTESICO"</f>
        <v>MATERIALE PROTESICO</v>
      </c>
      <c r="E1761" s="13" t="str">
        <f>"GEISTLICH BIOMATERIALS ITALIA SRL a Socio Unico"</f>
        <v>GEISTLICH BIOMATERIALS ITALIA SRL a Socio Unico</v>
      </c>
      <c r="F1761" s="13" t="s">
        <v>14</v>
      </c>
      <c r="G1761" s="15">
        <v>855</v>
      </c>
    </row>
    <row r="1762" spans="1:7" ht="22.5" x14ac:dyDescent="0.25">
      <c r="A1762" s="13">
        <v>14120</v>
      </c>
      <c r="B1762" s="14">
        <v>43444.656157407408</v>
      </c>
      <c r="C1762" s="13" t="s">
        <v>10</v>
      </c>
      <c r="D1762" s="13" t="str">
        <f>"MATERIALE PROTESICO"</f>
        <v>MATERIALE PROTESICO</v>
      </c>
      <c r="E1762" s="13" t="str">
        <f>"GLOBUS MEDICAL ITALY SRL"</f>
        <v>GLOBUS MEDICAL ITALY SRL</v>
      </c>
      <c r="F1762" s="13" t="s">
        <v>14</v>
      </c>
      <c r="G1762" s="15">
        <v>2550</v>
      </c>
    </row>
    <row r="1763" spans="1:7" ht="22.5" x14ac:dyDescent="0.25">
      <c r="A1763" s="13">
        <v>14121</v>
      </c>
      <c r="B1763" s="14">
        <v>43444.656157407408</v>
      </c>
      <c r="C1763" s="13" t="s">
        <v>10</v>
      </c>
      <c r="D1763" s="13" t="str">
        <f>"MATERIALE PROTESICO"</f>
        <v>MATERIALE PROTESICO</v>
      </c>
      <c r="E1763" s="13" t="str">
        <f>"GLOBUS MEDICAL ITALY SRL"</f>
        <v>GLOBUS MEDICAL ITALY SRL</v>
      </c>
      <c r="F1763" s="13" t="s">
        <v>14</v>
      </c>
      <c r="G1763" s="15">
        <v>2062.5</v>
      </c>
    </row>
    <row r="1764" spans="1:7" ht="33.75" x14ac:dyDescent="0.25">
      <c r="A1764" s="13">
        <v>14122</v>
      </c>
      <c r="B1764" s="14">
        <v>43444.656157407408</v>
      </c>
      <c r="C1764" s="13" t="s">
        <v>10</v>
      </c>
      <c r="D1764" s="13" t="str">
        <f>"PRESIDI MEDICO-CHIRURGICI GENERICI E AUSILI TECNICI PER DISABILI M"</f>
        <v>PRESIDI MEDICO-CHIRURGICI GENERICI E AUSILI TECNICI PER DISABILI M</v>
      </c>
      <c r="E1764" s="13" t="str">
        <f>"FARMAC - ZABBAN SPA"</f>
        <v>FARMAC - ZABBAN SPA</v>
      </c>
      <c r="F1764" s="13" t="s">
        <v>14</v>
      </c>
      <c r="G1764" s="15">
        <v>234</v>
      </c>
    </row>
    <row r="1765" spans="1:7" ht="33.75" x14ac:dyDescent="0.25">
      <c r="A1765" s="13">
        <v>14123</v>
      </c>
      <c r="B1765" s="14">
        <v>43444.656157407408</v>
      </c>
      <c r="C1765" s="13" t="s">
        <v>10</v>
      </c>
      <c r="D1765" s="13" t="str">
        <f>"PRESIDI MEDICO-CHIRURGICI GENERICI E AUSILI TECNICI PER DISABILI M"</f>
        <v>PRESIDI MEDICO-CHIRURGICI GENERICI E AUSILI TECNICI PER DISABILI M</v>
      </c>
      <c r="E1765" s="13" t="str">
        <f>"FARMAC - ZABBAN SPA"</f>
        <v>FARMAC - ZABBAN SPA</v>
      </c>
      <c r="F1765" s="13" t="s">
        <v>14</v>
      </c>
      <c r="G1765" s="15">
        <v>522</v>
      </c>
    </row>
    <row r="1766" spans="1:7" ht="33.75" x14ac:dyDescent="0.25">
      <c r="A1766" s="13">
        <v>14124</v>
      </c>
      <c r="B1766" s="14">
        <v>43444.656157407408</v>
      </c>
      <c r="C1766" s="13" t="s">
        <v>10</v>
      </c>
      <c r="D1766" s="13" t="str">
        <f>"PRESIDI MEDICO-CHIRURGICI GENERICI E AUSILI TECNICI PER DISABILI M"</f>
        <v>PRESIDI MEDICO-CHIRURGICI GENERICI E AUSILI TECNICI PER DISABILI M</v>
      </c>
      <c r="E1766" s="13" t="str">
        <f>"FARMAC - ZABBAN SPA"</f>
        <v>FARMAC - ZABBAN SPA</v>
      </c>
      <c r="F1766" s="13" t="s">
        <v>14</v>
      </c>
      <c r="G1766" s="15">
        <v>1295</v>
      </c>
    </row>
    <row r="1767" spans="1:7" ht="22.5" x14ac:dyDescent="0.25">
      <c r="A1767" s="13">
        <v>14125</v>
      </c>
      <c r="B1767" s="14">
        <v>43444.656157407408</v>
      </c>
      <c r="C1767" s="13" t="s">
        <v>10</v>
      </c>
      <c r="D1767" s="13" t="str">
        <f>"PRODOTTI FARMACEUTICI CON AIC"</f>
        <v>PRODOTTI FARMACEUTICI CON AIC</v>
      </c>
      <c r="E1767" s="13" t="str">
        <f>"GLAXOSMITHKLINE SPA Unipersonale"</f>
        <v>GLAXOSMITHKLINE SPA Unipersonale</v>
      </c>
      <c r="F1767" s="13" t="s">
        <v>14</v>
      </c>
      <c r="G1767" s="15">
        <v>92</v>
      </c>
    </row>
    <row r="1768" spans="1:7" ht="22.5" x14ac:dyDescent="0.25">
      <c r="A1768" s="13">
        <v>14126</v>
      </c>
      <c r="B1768" s="14">
        <v>43444.656168981484</v>
      </c>
      <c r="C1768" s="13" t="s">
        <v>10</v>
      </c>
      <c r="D1768" s="13" t="str">
        <f>"ALTRI CANONI DI NOLEGGIO"</f>
        <v>ALTRI CANONI DI NOLEGGIO</v>
      </c>
      <c r="E1768" s="13" t="str">
        <f>"HILL - ROM SPA"</f>
        <v>HILL - ROM SPA</v>
      </c>
      <c r="F1768" s="13" t="s">
        <v>14</v>
      </c>
      <c r="G1768" s="15">
        <v>342</v>
      </c>
    </row>
    <row r="1769" spans="1:7" ht="22.5" x14ac:dyDescent="0.25">
      <c r="A1769" s="13">
        <v>14127</v>
      </c>
      <c r="B1769" s="14">
        <v>43444.656168981484</v>
      </c>
      <c r="C1769" s="13" t="s">
        <v>10</v>
      </c>
      <c r="D1769" s="13" t="str">
        <f>"MATERIALE PROTESICO"</f>
        <v>MATERIALE PROTESICO</v>
      </c>
      <c r="E1769" s="13" t="str">
        <f>"GLOBUS MEDICAL ITALY SRL"</f>
        <v>GLOBUS MEDICAL ITALY SRL</v>
      </c>
      <c r="F1769" s="13" t="s">
        <v>14</v>
      </c>
      <c r="G1769" s="15">
        <v>2600</v>
      </c>
    </row>
    <row r="1770" spans="1:7" ht="22.5" x14ac:dyDescent="0.25">
      <c r="A1770" s="13">
        <v>14128</v>
      </c>
      <c r="B1770" s="14">
        <v>43444.656168981484</v>
      </c>
      <c r="C1770" s="13" t="s">
        <v>10</v>
      </c>
      <c r="D1770" s="13" t="str">
        <f>"MATERIALE PROTESICO"</f>
        <v>MATERIALE PROTESICO</v>
      </c>
      <c r="E1770" s="13" t="str">
        <f>"HERAEUS SPA Unipersonale"</f>
        <v>HERAEUS SPA Unipersonale</v>
      </c>
      <c r="F1770" s="13" t="s">
        <v>14</v>
      </c>
      <c r="G1770" s="15">
        <v>3027.3</v>
      </c>
    </row>
    <row r="1771" spans="1:7" ht="22.5" x14ac:dyDescent="0.25">
      <c r="A1771" s="13">
        <v>14129</v>
      </c>
      <c r="B1771" s="14">
        <v>43444.656168981484</v>
      </c>
      <c r="C1771" s="13" t="s">
        <v>10</v>
      </c>
      <c r="D1771" s="13" t="str">
        <f>"MATERIALE PROTESICO"</f>
        <v>MATERIALE PROTESICO</v>
      </c>
      <c r="E1771" s="13" t="str">
        <f>"HOFER MEDICAL ITALIA SRL"</f>
        <v>HOFER MEDICAL ITALIA SRL</v>
      </c>
      <c r="F1771" s="13" t="s">
        <v>14</v>
      </c>
      <c r="G1771" s="15">
        <v>882</v>
      </c>
    </row>
    <row r="1772" spans="1:7" ht="22.5" x14ac:dyDescent="0.25">
      <c r="A1772" s="13">
        <v>14130</v>
      </c>
      <c r="B1772" s="14">
        <v>43444.656168981484</v>
      </c>
      <c r="C1772" s="13" t="s">
        <v>10</v>
      </c>
      <c r="D1772" s="13" t="str">
        <f>"MATERIALI DI GUARDAROBA E CONVIVENZA"</f>
        <v>MATERIALI DI GUARDAROBA E CONVIVENZA</v>
      </c>
      <c r="E1772" s="13" t="str">
        <f>"I.L.P.A. di Galli Igino SRL"</f>
        <v>I.L.P.A. di Galli Igino SRL</v>
      </c>
      <c r="F1772" s="13" t="s">
        <v>21</v>
      </c>
      <c r="G1772" s="15">
        <v>447</v>
      </c>
    </row>
    <row r="1773" spans="1:7" ht="22.5" x14ac:dyDescent="0.25">
      <c r="A1773" s="13">
        <v>14131</v>
      </c>
      <c r="B1773" s="14">
        <v>43444.656168981484</v>
      </c>
      <c r="C1773" s="13" t="s">
        <v>10</v>
      </c>
      <c r="D1773" s="13" t="str">
        <f>"PRESIDI MEDICO-CHIRURGICI SPECIALISTICI U"</f>
        <v>PRESIDI MEDICO-CHIRURGICI SPECIALISTICI U</v>
      </c>
      <c r="E1773" s="13" t="str">
        <f>"HOLLISTER SPA"</f>
        <v>HOLLISTER SPA</v>
      </c>
      <c r="F1773" s="13" t="s">
        <v>14</v>
      </c>
      <c r="G1773" s="15">
        <v>114</v>
      </c>
    </row>
    <row r="1774" spans="1:7" ht="22.5" x14ac:dyDescent="0.25">
      <c r="A1774" s="13">
        <v>14132</v>
      </c>
      <c r="B1774" s="14">
        <v>43444.656168981484</v>
      </c>
      <c r="C1774" s="13" t="s">
        <v>10</v>
      </c>
      <c r="D1774" s="13" t="str">
        <f>"PRODOTTI FARMACEUTICI CON AIC"</f>
        <v>PRODOTTI FARMACEUTICI CON AIC</v>
      </c>
      <c r="E1774" s="13" t="str">
        <f>"HIKMA ITALIA SPA"</f>
        <v>HIKMA ITALIA SPA</v>
      </c>
      <c r="F1774" s="13" t="s">
        <v>14</v>
      </c>
      <c r="G1774" s="15">
        <v>1110.5</v>
      </c>
    </row>
    <row r="1775" spans="1:7" ht="22.5" x14ac:dyDescent="0.25">
      <c r="A1775" s="13">
        <v>14133</v>
      </c>
      <c r="B1775" s="14">
        <v>43444.656168981484</v>
      </c>
      <c r="C1775" s="13" t="s">
        <v>10</v>
      </c>
      <c r="D1775" s="13" t="str">
        <f>"PRODOTTI FARMACEUTICI CON AIC"</f>
        <v>PRODOTTI FARMACEUTICI CON AIC</v>
      </c>
      <c r="E1775" s="13" t="str">
        <f>"HIKMA ITALIA SPA"</f>
        <v>HIKMA ITALIA SPA</v>
      </c>
      <c r="F1775" s="13" t="s">
        <v>14</v>
      </c>
      <c r="G1775" s="15">
        <v>924.8</v>
      </c>
    </row>
    <row r="1776" spans="1:7" ht="22.5" x14ac:dyDescent="0.25">
      <c r="A1776" s="13">
        <v>14134</v>
      </c>
      <c r="B1776" s="14">
        <v>43444.656168981484</v>
      </c>
      <c r="C1776" s="13" t="s">
        <v>10</v>
      </c>
      <c r="D1776" s="13" t="str">
        <f>"SERVIZIO DI LAVANDERIA"</f>
        <v>SERVIZIO DI LAVANDERIA</v>
      </c>
      <c r="E1776" s="13" t="str">
        <f>"HOSPITAL SERVICE SRL"</f>
        <v>HOSPITAL SERVICE SRL</v>
      </c>
      <c r="F1776" s="13" t="s">
        <v>17</v>
      </c>
      <c r="G1776" s="15">
        <v>84.01</v>
      </c>
    </row>
    <row r="1777" spans="1:7" ht="22.5" x14ac:dyDescent="0.25">
      <c r="A1777" s="13">
        <v>14135</v>
      </c>
      <c r="B1777" s="14">
        <v>43444.656180555554</v>
      </c>
      <c r="C1777" s="13" t="s">
        <v>11</v>
      </c>
      <c r="D1777" s="13" t="str">
        <f>"MANUTENZIONE ALTRI BENI ST"</f>
        <v>MANUTENZIONE ALTRI BENI ST</v>
      </c>
      <c r="E1777" s="13" t="str">
        <f>"INDUSTRIAL TIME SRL a Socio Unico"</f>
        <v>INDUSTRIAL TIME SRL a Socio Unico</v>
      </c>
      <c r="F1777" s="13" t="s">
        <v>22</v>
      </c>
      <c r="G1777" s="15">
        <v>220</v>
      </c>
    </row>
    <row r="1778" spans="1:7" ht="22.5" x14ac:dyDescent="0.25">
      <c r="A1778" s="13">
        <v>14136</v>
      </c>
      <c r="B1778" s="14">
        <v>43444.656180555554</v>
      </c>
      <c r="C1778" s="13" t="s">
        <v>10</v>
      </c>
      <c r="D1778" s="13" t="str">
        <f>"MATERIALE PROTESICO"</f>
        <v>MATERIALE PROTESICO</v>
      </c>
      <c r="E1778" s="13" t="str">
        <f>"IMPLANTCAST ITALIA SRL"</f>
        <v>IMPLANTCAST ITALIA SRL</v>
      </c>
      <c r="F1778" s="13" t="s">
        <v>14</v>
      </c>
      <c r="G1778" s="15">
        <v>11071.51</v>
      </c>
    </row>
    <row r="1779" spans="1:7" ht="22.5" x14ac:dyDescent="0.25">
      <c r="A1779" s="13">
        <v>14137</v>
      </c>
      <c r="B1779" s="14">
        <v>43444.656180555554</v>
      </c>
      <c r="C1779" s="13" t="s">
        <v>10</v>
      </c>
      <c r="D1779" s="13" t="str">
        <f>"MATERIALE PROTESICO"</f>
        <v>MATERIALE PROTESICO</v>
      </c>
      <c r="E1779" s="13" t="str">
        <f>"IMPLANTCAST ITALIA SRL"</f>
        <v>IMPLANTCAST ITALIA SRL</v>
      </c>
      <c r="F1779" s="13" t="s">
        <v>14</v>
      </c>
      <c r="G1779" s="15">
        <v>1772.48</v>
      </c>
    </row>
    <row r="1780" spans="1:7" ht="22.5" x14ac:dyDescent="0.25">
      <c r="A1780" s="13">
        <v>14138</v>
      </c>
      <c r="B1780" s="14">
        <v>43444.656180555554</v>
      </c>
      <c r="C1780" s="13" t="s">
        <v>10</v>
      </c>
      <c r="D1780" s="13" t="str">
        <f>"MATERIALE PROTESICO"</f>
        <v>MATERIALE PROTESICO</v>
      </c>
      <c r="E1780" s="13" t="str">
        <f>"IMPLANTCAST ITALIA SRL"</f>
        <v>IMPLANTCAST ITALIA SRL</v>
      </c>
      <c r="F1780" s="13" t="s">
        <v>14</v>
      </c>
      <c r="G1780" s="15">
        <v>11184.96</v>
      </c>
    </row>
    <row r="1781" spans="1:7" ht="22.5" x14ac:dyDescent="0.25">
      <c r="A1781" s="13">
        <v>14139</v>
      </c>
      <c r="B1781" s="14">
        <v>43444.656180555554</v>
      </c>
      <c r="C1781" s="13" t="s">
        <v>10</v>
      </c>
      <c r="D1781" s="13" t="str">
        <f>"MATERIALE PROTESICO"</f>
        <v>MATERIALE PROTESICO</v>
      </c>
      <c r="E1781" s="13" t="str">
        <f>"IMPLANTCAST ITALIA SRL"</f>
        <v>IMPLANTCAST ITALIA SRL</v>
      </c>
      <c r="F1781" s="13" t="s">
        <v>14</v>
      </c>
      <c r="G1781" s="15">
        <v>12127.51</v>
      </c>
    </row>
    <row r="1782" spans="1:7" ht="22.5" x14ac:dyDescent="0.25">
      <c r="A1782" s="13">
        <v>14140</v>
      </c>
      <c r="B1782" s="14">
        <v>43444.656180555554</v>
      </c>
      <c r="C1782" s="13" t="s">
        <v>10</v>
      </c>
      <c r="D1782" s="13" t="str">
        <f>"MATERIALE PROTESICO"</f>
        <v>MATERIALE PROTESICO</v>
      </c>
      <c r="E1782" s="13" t="str">
        <f>"IMPLANTCAST ITALIA SRL"</f>
        <v>IMPLANTCAST ITALIA SRL</v>
      </c>
      <c r="F1782" s="13" t="s">
        <v>14</v>
      </c>
      <c r="G1782" s="15">
        <v>13848.79</v>
      </c>
    </row>
    <row r="1783" spans="1:7" ht="33.75" x14ac:dyDescent="0.25">
      <c r="A1783" s="13">
        <v>14141</v>
      </c>
      <c r="B1783" s="14">
        <v>43444.656180555554</v>
      </c>
      <c r="C1783" s="13" t="s">
        <v>10</v>
      </c>
      <c r="D1783" s="13" t="str">
        <f>"PRESIDI MEDICO-CHIRURGICI GENERICI E AUSILI TECNICI PER DISABILI H"</f>
        <v>PRESIDI MEDICO-CHIRURGICI GENERICI E AUSILI TECNICI PER DISABILI H</v>
      </c>
      <c r="E1783" s="13" t="str">
        <f>"ID &amp; CO. SRL"</f>
        <v>ID &amp; CO. SRL</v>
      </c>
      <c r="F1783" s="13" t="s">
        <v>14</v>
      </c>
      <c r="G1783" s="15">
        <v>123</v>
      </c>
    </row>
    <row r="1784" spans="1:7" ht="22.5" x14ac:dyDescent="0.25">
      <c r="A1784" s="13">
        <v>14142</v>
      </c>
      <c r="B1784" s="14">
        <v>43444.656180555554</v>
      </c>
      <c r="C1784" s="13" t="s">
        <v>10</v>
      </c>
      <c r="D1784" s="13" t="str">
        <f>"PRESIDI MEDICO-CHIRURGICI SPECIALISTICI R"</f>
        <v>PRESIDI MEDICO-CHIRURGICI SPECIALISTICI R</v>
      </c>
      <c r="E1784" s="13" t="str">
        <f>"INTERSURGICAL SPA"</f>
        <v>INTERSURGICAL SPA</v>
      </c>
      <c r="F1784" s="13" t="s">
        <v>14</v>
      </c>
      <c r="G1784" s="15">
        <v>393</v>
      </c>
    </row>
    <row r="1785" spans="1:7" ht="22.5" x14ac:dyDescent="0.25">
      <c r="A1785" s="13">
        <v>14143</v>
      </c>
      <c r="B1785" s="14">
        <v>43444.656180555554</v>
      </c>
      <c r="C1785" s="13" t="s">
        <v>10</v>
      </c>
      <c r="D1785" s="13" t="str">
        <f>"PRESIDI MEDICO-CHIRURGICI SPECIALISTICI R"</f>
        <v>PRESIDI MEDICO-CHIRURGICI SPECIALISTICI R</v>
      </c>
      <c r="E1785" s="13" t="str">
        <f>"INTERSURGICAL SPA"</f>
        <v>INTERSURGICAL SPA</v>
      </c>
      <c r="F1785" s="13" t="s">
        <v>14</v>
      </c>
      <c r="G1785" s="15">
        <v>740</v>
      </c>
    </row>
    <row r="1786" spans="1:7" ht="22.5" x14ac:dyDescent="0.25">
      <c r="A1786" s="13">
        <v>14144</v>
      </c>
      <c r="B1786" s="14">
        <v>43444.656192129631</v>
      </c>
      <c r="C1786" s="13" t="s">
        <v>10</v>
      </c>
      <c r="D1786" s="13" t="str">
        <f>"FARMACI FILE F"</f>
        <v>FARMACI FILE F</v>
      </c>
      <c r="E1786" s="13" t="str">
        <f>"JANSSEN-CILAG SPA"</f>
        <v>JANSSEN-CILAG SPA</v>
      </c>
      <c r="F1786" s="13" t="s">
        <v>14</v>
      </c>
      <c r="G1786" s="15">
        <v>2353.9</v>
      </c>
    </row>
    <row r="1787" spans="1:7" ht="22.5" x14ac:dyDescent="0.25">
      <c r="A1787" s="13">
        <v>14145</v>
      </c>
      <c r="B1787" s="14">
        <v>43444.656192129631</v>
      </c>
      <c r="C1787" s="13" t="s">
        <v>10</v>
      </c>
      <c r="D1787" s="13" t="str">
        <f>"MATERIALE PROTESICO"</f>
        <v>MATERIALE PROTESICO</v>
      </c>
      <c r="E1787" s="13" t="str">
        <f>"LEPINE ITALIA SRL"</f>
        <v>LEPINE ITALIA SRL</v>
      </c>
      <c r="F1787" s="13" t="s">
        <v>14</v>
      </c>
      <c r="G1787" s="15">
        <v>532.79999999999995</v>
      </c>
    </row>
    <row r="1788" spans="1:7" ht="22.5" x14ac:dyDescent="0.25">
      <c r="A1788" s="13">
        <v>14146</v>
      </c>
      <c r="B1788" s="14">
        <v>43444.656192129631</v>
      </c>
      <c r="C1788" s="13" t="s">
        <v>10</v>
      </c>
      <c r="D1788" s="13" t="str">
        <f>"MATERIALE PROTESICO"</f>
        <v>MATERIALE PROTESICO</v>
      </c>
      <c r="E1788" s="13" t="str">
        <f>"LEPINE ITALIA SRL"</f>
        <v>LEPINE ITALIA SRL</v>
      </c>
      <c r="F1788" s="13" t="s">
        <v>14</v>
      </c>
      <c r="G1788" s="15">
        <v>532.79999999999995</v>
      </c>
    </row>
    <row r="1789" spans="1:7" ht="22.5" x14ac:dyDescent="0.25">
      <c r="A1789" s="13">
        <v>14147</v>
      </c>
      <c r="B1789" s="14">
        <v>43444.656192129631</v>
      </c>
      <c r="C1789" s="13" t="s">
        <v>10</v>
      </c>
      <c r="D1789" s="13" t="str">
        <f>"MATERIALE PROTESICO"</f>
        <v>MATERIALE PROTESICO</v>
      </c>
      <c r="E1789" s="13" t="str">
        <f>"LEPINE ITALIA SRL"</f>
        <v>LEPINE ITALIA SRL</v>
      </c>
      <c r="F1789" s="13" t="s">
        <v>14</v>
      </c>
      <c r="G1789" s="15">
        <v>266.39999999999998</v>
      </c>
    </row>
    <row r="1790" spans="1:7" ht="33.75" x14ac:dyDescent="0.25">
      <c r="A1790" s="13">
        <v>14148</v>
      </c>
      <c r="B1790" s="14">
        <v>43444.656192129631</v>
      </c>
      <c r="C1790" s="13" t="s">
        <v>10</v>
      </c>
      <c r="D1790" s="13" t="str">
        <f>"PRESIDI MEDICO-CHIRURGICI GENERICI E AUSILI TECNICI PER DISABILI M"</f>
        <v>PRESIDI MEDICO-CHIRURGICI GENERICI E AUSILI TECNICI PER DISABILI M</v>
      </c>
      <c r="E1790" s="13" t="str">
        <f>"L.A.S. SNC di Lorenzetti &amp; Carminati"</f>
        <v>L.A.S. SNC di Lorenzetti &amp; Carminati</v>
      </c>
      <c r="F1790" s="13" t="s">
        <v>14</v>
      </c>
      <c r="G1790" s="15">
        <v>2131.8000000000002</v>
      </c>
    </row>
    <row r="1791" spans="1:7" ht="33.75" x14ac:dyDescent="0.25">
      <c r="A1791" s="13">
        <v>14149</v>
      </c>
      <c r="B1791" s="14">
        <v>43444.656192129631</v>
      </c>
      <c r="C1791" s="13" t="s">
        <v>10</v>
      </c>
      <c r="D1791" s="13" t="str">
        <f>"PRESIDI MEDICO-CHIRURGICI GENERICI E AUSILI TECNICI PER DISABILI Y"</f>
        <v>PRESIDI MEDICO-CHIRURGICI GENERICI E AUSILI TECNICI PER DISABILI Y</v>
      </c>
      <c r="E1791" s="13" t="str">
        <f>"ITALSANITARIA SRL"</f>
        <v>ITALSANITARIA SRL</v>
      </c>
      <c r="F1791" s="13" t="s">
        <v>14</v>
      </c>
      <c r="G1791" s="15">
        <v>71.400000000000006</v>
      </c>
    </row>
    <row r="1792" spans="1:7" ht="22.5" x14ac:dyDescent="0.25">
      <c r="A1792" s="13">
        <v>14150</v>
      </c>
      <c r="B1792" s="14">
        <v>43444.656192129631</v>
      </c>
      <c r="C1792" s="13" t="s">
        <v>10</v>
      </c>
      <c r="D1792" s="13" t="str">
        <f>"PRESIDI MEDICO-CHIRURGICI SPECIALISTICI R"</f>
        <v>PRESIDI MEDICO-CHIRURGICI SPECIALISTICI R</v>
      </c>
      <c r="E1792" s="13" t="str">
        <f>"INTERSURGICAL SPA"</f>
        <v>INTERSURGICAL SPA</v>
      </c>
      <c r="F1792" s="13" t="s">
        <v>14</v>
      </c>
      <c r="G1792" s="15">
        <v>200</v>
      </c>
    </row>
    <row r="1793" spans="1:7" ht="22.5" x14ac:dyDescent="0.25">
      <c r="A1793" s="13">
        <v>14151</v>
      </c>
      <c r="B1793" s="14">
        <v>43444.656192129631</v>
      </c>
      <c r="C1793" s="13" t="s">
        <v>10</v>
      </c>
      <c r="D1793" s="13" t="str">
        <f>"PRODOTTI FARMACEUTICI CON AIC"</f>
        <v>PRODOTTI FARMACEUTICI CON AIC</v>
      </c>
      <c r="E1793" s="13" t="str">
        <f>"L. MOLTENI &amp; C. DEI F.LLI ALITTI Societa di Esercizio SPA"</f>
        <v>L. MOLTENI &amp; C. DEI F.LLI ALITTI Societa di Esercizio SPA</v>
      </c>
      <c r="F1793" s="13" t="s">
        <v>14</v>
      </c>
      <c r="G1793" s="15">
        <v>40.39</v>
      </c>
    </row>
    <row r="1794" spans="1:7" ht="22.5" x14ac:dyDescent="0.25">
      <c r="A1794" s="13">
        <v>14152</v>
      </c>
      <c r="B1794" s="14">
        <v>43444.656192129631</v>
      </c>
      <c r="C1794" s="13" t="s">
        <v>10</v>
      </c>
      <c r="D1794" s="13" t="str">
        <f>"SERVIZIO DI PULIZIA (MENSA DIPENDENTI)"</f>
        <v>SERVIZIO DI PULIZIA (MENSA DIPENDENTI)</v>
      </c>
      <c r="E1794" s="13" t="str">
        <f>"ITALIA SERVIZI INTEGRATI SPA"</f>
        <v>ITALIA SERVIZI INTEGRATI SPA</v>
      </c>
      <c r="F1794" s="13" t="s">
        <v>14</v>
      </c>
      <c r="G1794" s="15">
        <v>1272.5999999999999</v>
      </c>
    </row>
    <row r="1795" spans="1:7" ht="33.75" x14ac:dyDescent="0.25">
      <c r="A1795" s="13">
        <v>14153</v>
      </c>
      <c r="B1795" s="14">
        <v>43444.656192129631</v>
      </c>
      <c r="C1795" s="13" t="s">
        <v>10</v>
      </c>
      <c r="D1795" s="13" t="str">
        <f>"SERVIZIO TRASPORTO MAGAZZINAGGIO FACCHINAGGIO IN APPALTO"</f>
        <v>SERVIZIO TRASPORTO MAGAZZINAGGIO FACCHINAGGIO IN APPALTO</v>
      </c>
      <c r="E1795" s="13" t="str">
        <f>"ITALASSISTANCE COOPERATIVA SOCIALE A R.L."</f>
        <v>ITALASSISTANCE COOPERATIVA SOCIALE A R.L.</v>
      </c>
      <c r="F1795" s="13" t="s">
        <v>31</v>
      </c>
      <c r="G1795" s="15">
        <v>1260</v>
      </c>
    </row>
    <row r="1796" spans="1:7" ht="33.75" x14ac:dyDescent="0.25">
      <c r="A1796" s="13">
        <v>14154</v>
      </c>
      <c r="B1796" s="14">
        <v>43444.656192129631</v>
      </c>
      <c r="C1796" s="13" t="s">
        <v>10</v>
      </c>
      <c r="D1796" s="13" t="str">
        <f>"SERVIZIO TRASPORTO MAGAZZINAGGIO FACCHINAGGIO IN APPALTO"</f>
        <v>SERVIZIO TRASPORTO MAGAZZINAGGIO FACCHINAGGIO IN APPALTO</v>
      </c>
      <c r="E1796" s="13" t="str">
        <f>"ITALASSISTANCE COOPERATIVA SOCIALE A R.L."</f>
        <v>ITALASSISTANCE COOPERATIVA SOCIALE A R.L.</v>
      </c>
      <c r="F1796" s="13" t="s">
        <v>31</v>
      </c>
      <c r="G1796" s="15">
        <v>3000</v>
      </c>
    </row>
    <row r="1797" spans="1:7" ht="22.5" x14ac:dyDescent="0.25">
      <c r="A1797" s="13">
        <v>14155</v>
      </c>
      <c r="B1797" s="14">
        <v>43444.6562037037</v>
      </c>
      <c r="C1797" s="13" t="s">
        <v>10</v>
      </c>
      <c r="D1797" s="13" t="str">
        <f t="shared" ref="D1797:D1831" si="125">"MATERIALE PROTESICO"</f>
        <v>MATERIALE PROTESICO</v>
      </c>
      <c r="E1797" s="13" t="str">
        <f t="shared" ref="E1797:E1808" si="126">"LEPINE ITALIA SRL"</f>
        <v>LEPINE ITALIA SRL</v>
      </c>
      <c r="F1797" s="13" t="s">
        <v>14</v>
      </c>
      <c r="G1797" s="15">
        <v>266.39999999999998</v>
      </c>
    </row>
    <row r="1798" spans="1:7" ht="22.5" x14ac:dyDescent="0.25">
      <c r="A1798" s="13">
        <v>14156</v>
      </c>
      <c r="B1798" s="14">
        <v>43444.6562037037</v>
      </c>
      <c r="C1798" s="13" t="s">
        <v>10</v>
      </c>
      <c r="D1798" s="13" t="str">
        <f t="shared" si="125"/>
        <v>MATERIALE PROTESICO</v>
      </c>
      <c r="E1798" s="13" t="str">
        <f t="shared" si="126"/>
        <v>LEPINE ITALIA SRL</v>
      </c>
      <c r="F1798" s="13" t="s">
        <v>14</v>
      </c>
      <c r="G1798" s="15">
        <v>532.79999999999995</v>
      </c>
    </row>
    <row r="1799" spans="1:7" ht="22.5" x14ac:dyDescent="0.25">
      <c r="A1799" s="13">
        <v>14157</v>
      </c>
      <c r="B1799" s="14">
        <v>43444.6562037037</v>
      </c>
      <c r="C1799" s="13" t="s">
        <v>10</v>
      </c>
      <c r="D1799" s="13" t="str">
        <f t="shared" si="125"/>
        <v>MATERIALE PROTESICO</v>
      </c>
      <c r="E1799" s="13" t="str">
        <f t="shared" si="126"/>
        <v>LEPINE ITALIA SRL</v>
      </c>
      <c r="F1799" s="13" t="s">
        <v>14</v>
      </c>
      <c r="G1799" s="15">
        <v>295</v>
      </c>
    </row>
    <row r="1800" spans="1:7" ht="22.5" x14ac:dyDescent="0.25">
      <c r="A1800" s="13">
        <v>14158</v>
      </c>
      <c r="B1800" s="14">
        <v>43444.6562037037</v>
      </c>
      <c r="C1800" s="13" t="s">
        <v>10</v>
      </c>
      <c r="D1800" s="13" t="str">
        <f t="shared" si="125"/>
        <v>MATERIALE PROTESICO</v>
      </c>
      <c r="E1800" s="13" t="str">
        <f t="shared" si="126"/>
        <v>LEPINE ITALIA SRL</v>
      </c>
      <c r="F1800" s="13" t="s">
        <v>14</v>
      </c>
      <c r="G1800" s="15">
        <v>590</v>
      </c>
    </row>
    <row r="1801" spans="1:7" ht="22.5" x14ac:dyDescent="0.25">
      <c r="A1801" s="13">
        <v>14159</v>
      </c>
      <c r="B1801" s="14">
        <v>43444.6562037037</v>
      </c>
      <c r="C1801" s="13" t="s">
        <v>10</v>
      </c>
      <c r="D1801" s="13" t="str">
        <f t="shared" si="125"/>
        <v>MATERIALE PROTESICO</v>
      </c>
      <c r="E1801" s="13" t="str">
        <f t="shared" si="126"/>
        <v>LEPINE ITALIA SRL</v>
      </c>
      <c r="F1801" s="13" t="s">
        <v>14</v>
      </c>
      <c r="G1801" s="15">
        <v>532.79999999999995</v>
      </c>
    </row>
    <row r="1802" spans="1:7" ht="22.5" x14ac:dyDescent="0.25">
      <c r="A1802" s="13">
        <v>14160</v>
      </c>
      <c r="B1802" s="14">
        <v>43444.6562037037</v>
      </c>
      <c r="C1802" s="13" t="s">
        <v>10</v>
      </c>
      <c r="D1802" s="13" t="str">
        <f t="shared" si="125"/>
        <v>MATERIALE PROTESICO</v>
      </c>
      <c r="E1802" s="13" t="str">
        <f t="shared" si="126"/>
        <v>LEPINE ITALIA SRL</v>
      </c>
      <c r="F1802" s="13" t="s">
        <v>14</v>
      </c>
      <c r="G1802" s="15">
        <v>532.79999999999995</v>
      </c>
    </row>
    <row r="1803" spans="1:7" ht="22.5" x14ac:dyDescent="0.25">
      <c r="A1803" s="13">
        <v>14161</v>
      </c>
      <c r="B1803" s="14">
        <v>43444.6562037037</v>
      </c>
      <c r="C1803" s="13" t="s">
        <v>10</v>
      </c>
      <c r="D1803" s="13" t="str">
        <f t="shared" si="125"/>
        <v>MATERIALE PROTESICO</v>
      </c>
      <c r="E1803" s="13" t="str">
        <f t="shared" si="126"/>
        <v>LEPINE ITALIA SRL</v>
      </c>
      <c r="F1803" s="13" t="s">
        <v>14</v>
      </c>
      <c r="G1803" s="15">
        <v>532.79999999999995</v>
      </c>
    </row>
    <row r="1804" spans="1:7" ht="22.5" x14ac:dyDescent="0.25">
      <c r="A1804" s="13">
        <v>14162</v>
      </c>
      <c r="B1804" s="14">
        <v>43444.6562037037</v>
      </c>
      <c r="C1804" s="13" t="s">
        <v>10</v>
      </c>
      <c r="D1804" s="13" t="str">
        <f t="shared" si="125"/>
        <v>MATERIALE PROTESICO</v>
      </c>
      <c r="E1804" s="13" t="str">
        <f t="shared" si="126"/>
        <v>LEPINE ITALIA SRL</v>
      </c>
      <c r="F1804" s="13" t="s">
        <v>14</v>
      </c>
      <c r="G1804" s="15">
        <v>532.79999999999995</v>
      </c>
    </row>
    <row r="1805" spans="1:7" ht="22.5" x14ac:dyDescent="0.25">
      <c r="A1805" s="13">
        <v>14163</v>
      </c>
      <c r="B1805" s="14">
        <v>43444.6562037037</v>
      </c>
      <c r="C1805" s="13" t="s">
        <v>10</v>
      </c>
      <c r="D1805" s="13" t="str">
        <f t="shared" si="125"/>
        <v>MATERIALE PROTESICO</v>
      </c>
      <c r="E1805" s="13" t="str">
        <f t="shared" si="126"/>
        <v>LEPINE ITALIA SRL</v>
      </c>
      <c r="F1805" s="13" t="s">
        <v>14</v>
      </c>
      <c r="G1805" s="15">
        <v>266.39999999999998</v>
      </c>
    </row>
    <row r="1806" spans="1:7" ht="22.5" x14ac:dyDescent="0.25">
      <c r="A1806" s="13">
        <v>14164</v>
      </c>
      <c r="B1806" s="14">
        <v>43444.6562037037</v>
      </c>
      <c r="C1806" s="13" t="s">
        <v>10</v>
      </c>
      <c r="D1806" s="13" t="str">
        <f t="shared" si="125"/>
        <v>MATERIALE PROTESICO</v>
      </c>
      <c r="E1806" s="13" t="str">
        <f t="shared" si="126"/>
        <v>LEPINE ITALIA SRL</v>
      </c>
      <c r="F1806" s="13" t="s">
        <v>14</v>
      </c>
      <c r="G1806" s="15">
        <v>532.79999999999995</v>
      </c>
    </row>
    <row r="1807" spans="1:7" ht="22.5" x14ac:dyDescent="0.25">
      <c r="A1807" s="13">
        <v>14165</v>
      </c>
      <c r="B1807" s="14">
        <v>43444.6562037037</v>
      </c>
      <c r="C1807" s="13" t="s">
        <v>10</v>
      </c>
      <c r="D1807" s="13" t="str">
        <f t="shared" si="125"/>
        <v>MATERIALE PROTESICO</v>
      </c>
      <c r="E1807" s="13" t="str">
        <f t="shared" si="126"/>
        <v>LEPINE ITALIA SRL</v>
      </c>
      <c r="F1807" s="13" t="s">
        <v>14</v>
      </c>
      <c r="G1807" s="15">
        <v>266.39999999999998</v>
      </c>
    </row>
    <row r="1808" spans="1:7" ht="22.5" x14ac:dyDescent="0.25">
      <c r="A1808" s="13">
        <v>14166</v>
      </c>
      <c r="B1808" s="14">
        <v>43444.6562037037</v>
      </c>
      <c r="C1808" s="13" t="s">
        <v>10</v>
      </c>
      <c r="D1808" s="13" t="str">
        <f t="shared" si="125"/>
        <v>MATERIALE PROTESICO</v>
      </c>
      <c r="E1808" s="13" t="str">
        <f t="shared" si="126"/>
        <v>LEPINE ITALIA SRL</v>
      </c>
      <c r="F1808" s="13" t="s">
        <v>14</v>
      </c>
      <c r="G1808" s="15">
        <v>532.79999999999995</v>
      </c>
    </row>
    <row r="1809" spans="1:7" ht="22.5" x14ac:dyDescent="0.25">
      <c r="A1809" s="13">
        <v>14167</v>
      </c>
      <c r="B1809" s="14">
        <v>43444.6562037037</v>
      </c>
      <c r="C1809" s="13" t="s">
        <v>10</v>
      </c>
      <c r="D1809" s="13" t="str">
        <f t="shared" si="125"/>
        <v>MATERIALE PROTESICO</v>
      </c>
      <c r="E1809" s="13" t="str">
        <f t="shared" ref="E1809:E1814" si="127">"LIMACORPORATE SPA"</f>
        <v>LIMACORPORATE SPA</v>
      </c>
      <c r="F1809" s="13" t="s">
        <v>14</v>
      </c>
      <c r="G1809" s="15">
        <v>1486.68</v>
      </c>
    </row>
    <row r="1810" spans="1:7" ht="22.5" x14ac:dyDescent="0.25">
      <c r="A1810" s="13">
        <v>14168</v>
      </c>
      <c r="B1810" s="14">
        <v>43444.6562037037</v>
      </c>
      <c r="C1810" s="13" t="s">
        <v>10</v>
      </c>
      <c r="D1810" s="13" t="str">
        <f t="shared" si="125"/>
        <v>MATERIALE PROTESICO</v>
      </c>
      <c r="E1810" s="13" t="str">
        <f t="shared" si="127"/>
        <v>LIMACORPORATE SPA</v>
      </c>
      <c r="F1810" s="13" t="s">
        <v>14</v>
      </c>
      <c r="G1810" s="15">
        <v>1486.68</v>
      </c>
    </row>
    <row r="1811" spans="1:7" ht="22.5" x14ac:dyDescent="0.25">
      <c r="A1811" s="13">
        <v>14169</v>
      </c>
      <c r="B1811" s="14">
        <v>43445.438969907409</v>
      </c>
      <c r="C1811" s="13" t="s">
        <v>10</v>
      </c>
      <c r="D1811" s="13" t="str">
        <f t="shared" si="125"/>
        <v>MATERIALE PROTESICO</v>
      </c>
      <c r="E1811" s="13" t="str">
        <f t="shared" si="127"/>
        <v>LIMACORPORATE SPA</v>
      </c>
      <c r="F1811" s="13" t="s">
        <v>14</v>
      </c>
      <c r="G1811" s="15">
        <v>3764.8</v>
      </c>
    </row>
    <row r="1812" spans="1:7" ht="22.5" x14ac:dyDescent="0.25">
      <c r="A1812" s="13">
        <v>14170</v>
      </c>
      <c r="B1812" s="14">
        <v>43445.438981481479</v>
      </c>
      <c r="C1812" s="13" t="s">
        <v>10</v>
      </c>
      <c r="D1812" s="13" t="str">
        <f t="shared" si="125"/>
        <v>MATERIALE PROTESICO</v>
      </c>
      <c r="E1812" s="13" t="str">
        <f t="shared" si="127"/>
        <v>LIMACORPORATE SPA</v>
      </c>
      <c r="F1812" s="13" t="s">
        <v>14</v>
      </c>
      <c r="G1812" s="15">
        <v>64</v>
      </c>
    </row>
    <row r="1813" spans="1:7" ht="22.5" x14ac:dyDescent="0.25">
      <c r="A1813" s="13">
        <v>14171</v>
      </c>
      <c r="B1813" s="14">
        <v>43445.438981481479</v>
      </c>
      <c r="C1813" s="13" t="s">
        <v>10</v>
      </c>
      <c r="D1813" s="13" t="str">
        <f t="shared" si="125"/>
        <v>MATERIALE PROTESICO</v>
      </c>
      <c r="E1813" s="13" t="str">
        <f t="shared" si="127"/>
        <v>LIMACORPORATE SPA</v>
      </c>
      <c r="F1813" s="13" t="s">
        <v>14</v>
      </c>
      <c r="G1813" s="15">
        <v>400</v>
      </c>
    </row>
    <row r="1814" spans="1:7" ht="22.5" x14ac:dyDescent="0.25">
      <c r="A1814" s="13">
        <v>14172</v>
      </c>
      <c r="B1814" s="14">
        <v>43445.438981481479</v>
      </c>
      <c r="C1814" s="13" t="s">
        <v>10</v>
      </c>
      <c r="D1814" s="13" t="str">
        <f t="shared" si="125"/>
        <v>MATERIALE PROTESICO</v>
      </c>
      <c r="E1814" s="13" t="str">
        <f t="shared" si="127"/>
        <v>LIMACORPORATE SPA</v>
      </c>
      <c r="F1814" s="13" t="s">
        <v>14</v>
      </c>
      <c r="G1814" s="15">
        <v>400</v>
      </c>
    </row>
    <row r="1815" spans="1:7" ht="22.5" x14ac:dyDescent="0.25">
      <c r="A1815" s="13">
        <v>14173</v>
      </c>
      <c r="B1815" s="14">
        <v>43445.438993055555</v>
      </c>
      <c r="C1815" s="13" t="s">
        <v>10</v>
      </c>
      <c r="D1815" s="13" t="str">
        <f t="shared" si="125"/>
        <v>MATERIALE PROTESICO</v>
      </c>
      <c r="E1815" s="13" t="str">
        <f t="shared" ref="E1815:E1827" si="128">"LINK ITALIA SPA - Socio Unico"</f>
        <v>LINK ITALIA SPA - Socio Unico</v>
      </c>
      <c r="F1815" s="13" t="s">
        <v>14</v>
      </c>
      <c r="G1815" s="15">
        <v>437.82</v>
      </c>
    </row>
    <row r="1816" spans="1:7" ht="22.5" x14ac:dyDescent="0.25">
      <c r="A1816" s="13">
        <v>14174</v>
      </c>
      <c r="B1816" s="14">
        <v>43445.438993055555</v>
      </c>
      <c r="C1816" s="13" t="s">
        <v>10</v>
      </c>
      <c r="D1816" s="13" t="str">
        <f t="shared" si="125"/>
        <v>MATERIALE PROTESICO</v>
      </c>
      <c r="E1816" s="13" t="str">
        <f t="shared" si="128"/>
        <v>LINK ITALIA SPA - Socio Unico</v>
      </c>
      <c r="F1816" s="13" t="s">
        <v>14</v>
      </c>
      <c r="G1816" s="15">
        <v>688.7</v>
      </c>
    </row>
    <row r="1817" spans="1:7" ht="22.5" x14ac:dyDescent="0.25">
      <c r="A1817" s="13">
        <v>14175</v>
      </c>
      <c r="B1817" s="14">
        <v>43445.438993055555</v>
      </c>
      <c r="C1817" s="13" t="s">
        <v>10</v>
      </c>
      <c r="D1817" s="13" t="str">
        <f t="shared" si="125"/>
        <v>MATERIALE PROTESICO</v>
      </c>
      <c r="E1817" s="13" t="str">
        <f t="shared" si="128"/>
        <v>LINK ITALIA SPA - Socio Unico</v>
      </c>
      <c r="F1817" s="13" t="s">
        <v>14</v>
      </c>
      <c r="G1817" s="15">
        <v>688.7</v>
      </c>
    </row>
    <row r="1818" spans="1:7" ht="22.5" x14ac:dyDescent="0.25">
      <c r="A1818" s="13">
        <v>14176</v>
      </c>
      <c r="B1818" s="14">
        <v>43445.438993055555</v>
      </c>
      <c r="C1818" s="13" t="s">
        <v>10</v>
      </c>
      <c r="D1818" s="13" t="str">
        <f t="shared" si="125"/>
        <v>MATERIALE PROTESICO</v>
      </c>
      <c r="E1818" s="13" t="str">
        <f t="shared" si="128"/>
        <v>LINK ITALIA SPA - Socio Unico</v>
      </c>
      <c r="F1818" s="13" t="s">
        <v>14</v>
      </c>
      <c r="G1818" s="15">
        <v>907.65</v>
      </c>
    </row>
    <row r="1819" spans="1:7" ht="22.5" x14ac:dyDescent="0.25">
      <c r="A1819" s="13">
        <v>14177</v>
      </c>
      <c r="B1819" s="14">
        <v>43445.438993055555</v>
      </c>
      <c r="C1819" s="13" t="s">
        <v>10</v>
      </c>
      <c r="D1819" s="13" t="str">
        <f t="shared" si="125"/>
        <v>MATERIALE PROTESICO</v>
      </c>
      <c r="E1819" s="13" t="str">
        <f t="shared" si="128"/>
        <v>LINK ITALIA SPA - Socio Unico</v>
      </c>
      <c r="F1819" s="13" t="s">
        <v>14</v>
      </c>
      <c r="G1819" s="15">
        <v>907.65</v>
      </c>
    </row>
    <row r="1820" spans="1:7" ht="22.5" x14ac:dyDescent="0.25">
      <c r="A1820" s="13">
        <v>14178</v>
      </c>
      <c r="B1820" s="14">
        <v>43445.438993055555</v>
      </c>
      <c r="C1820" s="13" t="s">
        <v>10</v>
      </c>
      <c r="D1820" s="13" t="str">
        <f t="shared" si="125"/>
        <v>MATERIALE PROTESICO</v>
      </c>
      <c r="E1820" s="13" t="str">
        <f t="shared" si="128"/>
        <v>LINK ITALIA SPA - Socio Unico</v>
      </c>
      <c r="F1820" s="13" t="s">
        <v>14</v>
      </c>
      <c r="G1820" s="15">
        <v>907.65</v>
      </c>
    </row>
    <row r="1821" spans="1:7" ht="22.5" x14ac:dyDescent="0.25">
      <c r="A1821" s="13">
        <v>14179</v>
      </c>
      <c r="B1821" s="14">
        <v>43445.438993055555</v>
      </c>
      <c r="C1821" s="13" t="s">
        <v>10</v>
      </c>
      <c r="D1821" s="13" t="str">
        <f t="shared" si="125"/>
        <v>MATERIALE PROTESICO</v>
      </c>
      <c r="E1821" s="13" t="str">
        <f t="shared" si="128"/>
        <v>LINK ITALIA SPA - Socio Unico</v>
      </c>
      <c r="F1821" s="13" t="s">
        <v>14</v>
      </c>
      <c r="G1821" s="15">
        <v>236.44</v>
      </c>
    </row>
    <row r="1822" spans="1:7" ht="22.5" x14ac:dyDescent="0.25">
      <c r="A1822" s="13">
        <v>14180</v>
      </c>
      <c r="B1822" s="14">
        <v>43445.438993055555</v>
      </c>
      <c r="C1822" s="13" t="s">
        <v>10</v>
      </c>
      <c r="D1822" s="13" t="str">
        <f t="shared" si="125"/>
        <v>MATERIALE PROTESICO</v>
      </c>
      <c r="E1822" s="13" t="str">
        <f t="shared" si="128"/>
        <v>LINK ITALIA SPA - Socio Unico</v>
      </c>
      <c r="F1822" s="13" t="s">
        <v>14</v>
      </c>
      <c r="G1822" s="15">
        <v>236.44</v>
      </c>
    </row>
    <row r="1823" spans="1:7" ht="22.5" x14ac:dyDescent="0.25">
      <c r="A1823" s="13">
        <v>14181</v>
      </c>
      <c r="B1823" s="14">
        <v>43445.438993055555</v>
      </c>
      <c r="C1823" s="13" t="s">
        <v>10</v>
      </c>
      <c r="D1823" s="13" t="str">
        <f t="shared" si="125"/>
        <v>MATERIALE PROTESICO</v>
      </c>
      <c r="E1823" s="13" t="str">
        <f t="shared" si="128"/>
        <v>LINK ITALIA SPA - Socio Unico</v>
      </c>
      <c r="F1823" s="13" t="s">
        <v>14</v>
      </c>
      <c r="G1823" s="15">
        <v>911.44</v>
      </c>
    </row>
    <row r="1824" spans="1:7" ht="22.5" x14ac:dyDescent="0.25">
      <c r="A1824" s="13">
        <v>14182</v>
      </c>
      <c r="B1824" s="14">
        <v>43445.438993055555</v>
      </c>
      <c r="C1824" s="13" t="s">
        <v>10</v>
      </c>
      <c r="D1824" s="13" t="str">
        <f t="shared" si="125"/>
        <v>MATERIALE PROTESICO</v>
      </c>
      <c r="E1824" s="13" t="str">
        <f t="shared" si="128"/>
        <v>LINK ITALIA SPA - Socio Unico</v>
      </c>
      <c r="F1824" s="13" t="s">
        <v>14</v>
      </c>
      <c r="G1824" s="15">
        <v>911.44</v>
      </c>
    </row>
    <row r="1825" spans="1:7" ht="22.5" x14ac:dyDescent="0.25">
      <c r="A1825" s="13">
        <v>14183</v>
      </c>
      <c r="B1825" s="14">
        <v>43445.438993055555</v>
      </c>
      <c r="C1825" s="13" t="s">
        <v>10</v>
      </c>
      <c r="D1825" s="13" t="str">
        <f t="shared" si="125"/>
        <v>MATERIALE PROTESICO</v>
      </c>
      <c r="E1825" s="13" t="str">
        <f t="shared" si="128"/>
        <v>LINK ITALIA SPA - Socio Unico</v>
      </c>
      <c r="F1825" s="13" t="s">
        <v>14</v>
      </c>
      <c r="G1825" s="15">
        <v>931</v>
      </c>
    </row>
    <row r="1826" spans="1:7" ht="22.5" x14ac:dyDescent="0.25">
      <c r="A1826" s="13">
        <v>14184</v>
      </c>
      <c r="B1826" s="14">
        <v>43445.438993055555</v>
      </c>
      <c r="C1826" s="13" t="s">
        <v>10</v>
      </c>
      <c r="D1826" s="13" t="str">
        <f t="shared" si="125"/>
        <v>MATERIALE PROTESICO</v>
      </c>
      <c r="E1826" s="13" t="str">
        <f t="shared" si="128"/>
        <v>LINK ITALIA SPA - Socio Unico</v>
      </c>
      <c r="F1826" s="13" t="s">
        <v>14</v>
      </c>
      <c r="G1826" s="15">
        <v>931</v>
      </c>
    </row>
    <row r="1827" spans="1:7" ht="22.5" x14ac:dyDescent="0.25">
      <c r="A1827" s="13">
        <v>14185</v>
      </c>
      <c r="B1827" s="14">
        <v>43445.438993055555</v>
      </c>
      <c r="C1827" s="13" t="s">
        <v>10</v>
      </c>
      <c r="D1827" s="13" t="str">
        <f t="shared" si="125"/>
        <v>MATERIALE PROTESICO</v>
      </c>
      <c r="E1827" s="13" t="str">
        <f t="shared" si="128"/>
        <v>LINK ITALIA SPA - Socio Unico</v>
      </c>
      <c r="F1827" s="13" t="s">
        <v>14</v>
      </c>
      <c r="G1827" s="15">
        <v>220</v>
      </c>
    </row>
    <row r="1828" spans="1:7" ht="22.5" x14ac:dyDescent="0.25">
      <c r="A1828" s="13">
        <v>14186</v>
      </c>
      <c r="B1828" s="14">
        <v>43445.438993055555</v>
      </c>
      <c r="C1828" s="13" t="s">
        <v>10</v>
      </c>
      <c r="D1828" s="13" t="str">
        <f t="shared" si="125"/>
        <v>MATERIALE PROTESICO</v>
      </c>
      <c r="E1828" s="13" t="str">
        <f>"M.I.T. SRL - MEDICAL INNOVATIVE TECHNOLOGY ITALIA"</f>
        <v>M.I.T. SRL - MEDICAL INNOVATIVE TECHNOLOGY ITALIA</v>
      </c>
      <c r="F1828" s="13" t="s">
        <v>14</v>
      </c>
      <c r="G1828" s="15">
        <v>1641.34</v>
      </c>
    </row>
    <row r="1829" spans="1:7" ht="22.5" x14ac:dyDescent="0.25">
      <c r="A1829" s="13">
        <v>14187</v>
      </c>
      <c r="B1829" s="14">
        <v>43445.438993055555</v>
      </c>
      <c r="C1829" s="13" t="s">
        <v>10</v>
      </c>
      <c r="D1829" s="13" t="str">
        <f t="shared" si="125"/>
        <v>MATERIALE PROTESICO</v>
      </c>
      <c r="E1829" s="13" t="str">
        <f>"M.I.T. SRL - MEDICAL INNOVATIVE TECHNOLOGY ITALIA"</f>
        <v>M.I.T. SRL - MEDICAL INNOVATIVE TECHNOLOGY ITALIA</v>
      </c>
      <c r="F1829" s="13" t="s">
        <v>14</v>
      </c>
      <c r="G1829" s="15">
        <v>1640.89</v>
      </c>
    </row>
    <row r="1830" spans="1:7" ht="22.5" x14ac:dyDescent="0.25">
      <c r="A1830" s="13">
        <v>14188</v>
      </c>
      <c r="B1830" s="14">
        <v>43445.438993055555</v>
      </c>
      <c r="C1830" s="13" t="s">
        <v>10</v>
      </c>
      <c r="D1830" s="13" t="str">
        <f t="shared" si="125"/>
        <v>MATERIALE PROTESICO</v>
      </c>
      <c r="E1830" s="13" t="str">
        <f>"M.I.T. SRL - MEDICAL INNOVATIVE TECHNOLOGY ITALIA"</f>
        <v>M.I.T. SRL - MEDICAL INNOVATIVE TECHNOLOGY ITALIA</v>
      </c>
      <c r="F1830" s="13" t="s">
        <v>14</v>
      </c>
      <c r="G1830" s="15">
        <v>1640.89</v>
      </c>
    </row>
    <row r="1831" spans="1:7" ht="22.5" x14ac:dyDescent="0.25">
      <c r="A1831" s="13">
        <v>14189</v>
      </c>
      <c r="B1831" s="14">
        <v>43445.438993055555</v>
      </c>
      <c r="C1831" s="13" t="s">
        <v>10</v>
      </c>
      <c r="D1831" s="13" t="str">
        <f t="shared" si="125"/>
        <v>MATERIALE PROTESICO</v>
      </c>
      <c r="E1831" s="13" t="str">
        <f>"M.I.T. SRL - MEDICAL INNOVATIVE TECHNOLOGY ITALIA"</f>
        <v>M.I.T. SRL - MEDICAL INNOVATIVE TECHNOLOGY ITALIA</v>
      </c>
      <c r="F1831" s="13" t="s">
        <v>14</v>
      </c>
      <c r="G1831" s="15">
        <v>201.6</v>
      </c>
    </row>
    <row r="1832" spans="1:7" ht="33.75" x14ac:dyDescent="0.25">
      <c r="A1832" s="13">
        <v>14190</v>
      </c>
      <c r="B1832" s="14">
        <v>43445.438993055555</v>
      </c>
      <c r="C1832" s="13" t="s">
        <v>10</v>
      </c>
      <c r="D1832" s="13" t="str">
        <f>"PRESIDI MEDICO-CHIRURGICI GENERICI E AUSILI TECNICI PER DISABILI M"</f>
        <v>PRESIDI MEDICO-CHIRURGICI GENERICI E AUSILI TECNICI PER DISABILI M</v>
      </c>
      <c r="E1832" s="13" t="str">
        <f>"LOHMANN &amp; RAUSCHER SRL Soc. Unipersonale"</f>
        <v>LOHMANN &amp; RAUSCHER SRL Soc. Unipersonale</v>
      </c>
      <c r="F1832" s="13" t="s">
        <v>14</v>
      </c>
      <c r="G1832" s="15">
        <v>1350.2</v>
      </c>
    </row>
    <row r="1833" spans="1:7" ht="33.75" x14ac:dyDescent="0.25">
      <c r="A1833" s="13">
        <v>14191</v>
      </c>
      <c r="B1833" s="14">
        <v>43445.438993055555</v>
      </c>
      <c r="C1833" s="13" t="s">
        <v>10</v>
      </c>
      <c r="D1833" s="13" t="str">
        <f>"PRESIDI MEDICO-CHIRURGICI GENERICI E AUSILI TECNICI PER DISABILI T"</f>
        <v>PRESIDI MEDICO-CHIRURGICI GENERICI E AUSILI TECNICI PER DISABILI T</v>
      </c>
      <c r="E1833" s="13" t="str">
        <f>"LOHMANN &amp; RAUSCHER SRL Soc. Unipersonale"</f>
        <v>LOHMANN &amp; RAUSCHER SRL Soc. Unipersonale</v>
      </c>
      <c r="F1833" s="13" t="s">
        <v>14</v>
      </c>
      <c r="G1833" s="15">
        <v>258.39999999999998</v>
      </c>
    </row>
    <row r="1834" spans="1:7" ht="22.5" x14ac:dyDescent="0.25">
      <c r="A1834" s="13">
        <v>14192</v>
      </c>
      <c r="B1834" s="14">
        <v>43445.439004629632</v>
      </c>
      <c r="C1834" s="13" t="s">
        <v>10</v>
      </c>
      <c r="D1834" s="13" t="str">
        <f t="shared" ref="D1834:D1840" si="129">"MATERIALE PROTESICO"</f>
        <v>MATERIALE PROTESICO</v>
      </c>
      <c r="E1834" s="13" t="str">
        <f>"M.I.T. SRL - MEDICAL INNOVATIVE TECHNOLOGY ITALIA"</f>
        <v>M.I.T. SRL - MEDICAL INNOVATIVE TECHNOLOGY ITALIA</v>
      </c>
      <c r="F1834" s="13" t="s">
        <v>14</v>
      </c>
      <c r="G1834" s="15">
        <v>201.6</v>
      </c>
    </row>
    <row r="1835" spans="1:7" ht="22.5" x14ac:dyDescent="0.25">
      <c r="A1835" s="13">
        <v>14193</v>
      </c>
      <c r="B1835" s="14">
        <v>43445.439004629632</v>
      </c>
      <c r="C1835" s="13" t="s">
        <v>10</v>
      </c>
      <c r="D1835" s="13" t="str">
        <f t="shared" si="129"/>
        <v>MATERIALE PROTESICO</v>
      </c>
      <c r="E1835" s="13" t="str">
        <f>"M.I.T. SRL - MEDICAL INNOVATIVE TECHNOLOGY ITALIA"</f>
        <v>M.I.T. SRL - MEDICAL INNOVATIVE TECHNOLOGY ITALIA</v>
      </c>
      <c r="F1835" s="13" t="s">
        <v>14</v>
      </c>
      <c r="G1835" s="15">
        <v>201.6</v>
      </c>
    </row>
    <row r="1836" spans="1:7" ht="22.5" x14ac:dyDescent="0.25">
      <c r="A1836" s="13">
        <v>14194</v>
      </c>
      <c r="B1836" s="14">
        <v>43445.439004629632</v>
      </c>
      <c r="C1836" s="13" t="s">
        <v>10</v>
      </c>
      <c r="D1836" s="13" t="str">
        <f t="shared" si="129"/>
        <v>MATERIALE PROTESICO</v>
      </c>
      <c r="E1836" s="13" t="str">
        <f>"MEDACTA ITALIA SRL a Socio Unico"</f>
        <v>MEDACTA ITALIA SRL a Socio Unico</v>
      </c>
      <c r="F1836" s="13" t="s">
        <v>14</v>
      </c>
      <c r="G1836" s="15">
        <v>2552.4499999999998</v>
      </c>
    </row>
    <row r="1837" spans="1:7" ht="22.5" x14ac:dyDescent="0.25">
      <c r="A1837" s="13">
        <v>14195</v>
      </c>
      <c r="B1837" s="14">
        <v>43445.439004629632</v>
      </c>
      <c r="C1837" s="13" t="s">
        <v>10</v>
      </c>
      <c r="D1837" s="13" t="str">
        <f t="shared" si="129"/>
        <v>MATERIALE PROTESICO</v>
      </c>
      <c r="E1837" s="13" t="str">
        <f>"MEDACTA ITALIA SRL a Socio Unico"</f>
        <v>MEDACTA ITALIA SRL a Socio Unico</v>
      </c>
      <c r="F1837" s="13" t="s">
        <v>14</v>
      </c>
      <c r="G1837" s="15">
        <v>2355.3200000000002</v>
      </c>
    </row>
    <row r="1838" spans="1:7" ht="22.5" x14ac:dyDescent="0.25">
      <c r="A1838" s="13">
        <v>14196</v>
      </c>
      <c r="B1838" s="14">
        <v>43445.439004629632</v>
      </c>
      <c r="C1838" s="13" t="s">
        <v>10</v>
      </c>
      <c r="D1838" s="13" t="str">
        <f t="shared" si="129"/>
        <v>MATERIALE PROTESICO</v>
      </c>
      <c r="E1838" s="13" t="str">
        <f>"MEDACTA ITALIA SRL a Socio Unico"</f>
        <v>MEDACTA ITALIA SRL a Socio Unico</v>
      </c>
      <c r="F1838" s="13" t="s">
        <v>14</v>
      </c>
      <c r="G1838" s="15">
        <v>665</v>
      </c>
    </row>
    <row r="1839" spans="1:7" ht="22.5" x14ac:dyDescent="0.25">
      <c r="A1839" s="13">
        <v>14197</v>
      </c>
      <c r="B1839" s="14">
        <v>43445.439004629632</v>
      </c>
      <c r="C1839" s="13" t="s">
        <v>10</v>
      </c>
      <c r="D1839" s="13" t="str">
        <f t="shared" si="129"/>
        <v>MATERIALE PROTESICO</v>
      </c>
      <c r="E1839" s="13" t="str">
        <f>"MEDACTA ITALIA SRL a Socio Unico"</f>
        <v>MEDACTA ITALIA SRL a Socio Unico</v>
      </c>
      <c r="F1839" s="13" t="s">
        <v>14</v>
      </c>
      <c r="G1839" s="15">
        <v>665</v>
      </c>
    </row>
    <row r="1840" spans="1:7" ht="22.5" x14ac:dyDescent="0.25">
      <c r="A1840" s="13">
        <v>14198</v>
      </c>
      <c r="B1840" s="14">
        <v>43445.439004629632</v>
      </c>
      <c r="C1840" s="13" t="s">
        <v>10</v>
      </c>
      <c r="D1840" s="13" t="str">
        <f t="shared" si="129"/>
        <v>MATERIALE PROTESICO</v>
      </c>
      <c r="E1840" s="13" t="str">
        <f>"MEDICAL 2011 SRL"</f>
        <v>MEDICAL 2011 SRL</v>
      </c>
      <c r="F1840" s="13" t="s">
        <v>14</v>
      </c>
      <c r="G1840" s="15">
        <v>50</v>
      </c>
    </row>
    <row r="1841" spans="1:7" ht="22.5" x14ac:dyDescent="0.25">
      <c r="A1841" s="13">
        <v>14199</v>
      </c>
      <c r="B1841" s="14">
        <v>43445.439004629632</v>
      </c>
      <c r="C1841" s="13" t="s">
        <v>10</v>
      </c>
      <c r="D1841" s="13" t="str">
        <f>"MATERIALI DI GUARDAROBA E CONVIVENZA"</f>
        <v>MATERIALI DI GUARDAROBA E CONVIVENZA</v>
      </c>
      <c r="E1841" s="13" t="str">
        <f>"MAGRIS SPA"</f>
        <v>MAGRIS SPA</v>
      </c>
      <c r="F1841" s="13" t="s">
        <v>21</v>
      </c>
      <c r="G1841" s="15">
        <v>496</v>
      </c>
    </row>
    <row r="1842" spans="1:7" ht="22.5" x14ac:dyDescent="0.25">
      <c r="A1842" s="13">
        <v>14200</v>
      </c>
      <c r="B1842" s="14">
        <v>43445.439004629632</v>
      </c>
      <c r="C1842" s="13" t="s">
        <v>10</v>
      </c>
      <c r="D1842" s="13" t="str">
        <f>"MATERIALI DI GUARDAROBA E CONVIVENZA"</f>
        <v>MATERIALI DI GUARDAROBA E CONVIVENZA</v>
      </c>
      <c r="E1842" s="13" t="str">
        <f>"MEDA PHARMA SPA"</f>
        <v>MEDA PHARMA SPA</v>
      </c>
      <c r="F1842" s="13" t="s">
        <v>21</v>
      </c>
      <c r="G1842" s="15">
        <v>216.96</v>
      </c>
    </row>
    <row r="1843" spans="1:7" ht="22.5" x14ac:dyDescent="0.25">
      <c r="A1843" s="13">
        <v>14201</v>
      </c>
      <c r="B1843" s="14">
        <v>43445.439004629632</v>
      </c>
      <c r="C1843" s="13" t="s">
        <v>10</v>
      </c>
      <c r="D1843" s="13" t="str">
        <f>"MATERIALI DI GUARDAROBA E CONVIVENZA"</f>
        <v>MATERIALI DI GUARDAROBA E CONVIVENZA</v>
      </c>
      <c r="E1843" s="13" t="str">
        <f>"MEDIBERG SRL"</f>
        <v>MEDIBERG SRL</v>
      </c>
      <c r="F1843" s="13" t="s">
        <v>21</v>
      </c>
      <c r="G1843" s="15">
        <v>387</v>
      </c>
    </row>
    <row r="1844" spans="1:7" ht="22.5" x14ac:dyDescent="0.25">
      <c r="A1844" s="13">
        <v>14202</v>
      </c>
      <c r="B1844" s="14">
        <v>43445.439004629632</v>
      </c>
      <c r="C1844" s="13" t="s">
        <v>10</v>
      </c>
      <c r="D1844" s="13" t="str">
        <f>"PRODOTTI FARMACEUTICI CON AIC"</f>
        <v>PRODOTTI FARMACEUTICI CON AIC</v>
      </c>
      <c r="E1844" s="13" t="str">
        <f>"MEDA PHARMA SPA"</f>
        <v>MEDA PHARMA SPA</v>
      </c>
      <c r="F1844" s="13" t="s">
        <v>14</v>
      </c>
      <c r="G1844" s="15">
        <v>918.28</v>
      </c>
    </row>
    <row r="1845" spans="1:7" ht="33.75" x14ac:dyDescent="0.25">
      <c r="A1845" s="13">
        <v>14203</v>
      </c>
      <c r="B1845" s="14">
        <v>43445.439016203702</v>
      </c>
      <c r="C1845" s="13" t="s">
        <v>10</v>
      </c>
      <c r="D1845" s="13" t="str">
        <f>"DISINFETTANTI, PRODOTTI PER STERILIZZAZIONE E DISPOSITIVI VARI V"</f>
        <v>DISINFETTANTI, PRODOTTI PER STERILIZZAZIONE E DISPOSITIVI VARI V</v>
      </c>
      <c r="E1845" s="13" t="str">
        <f>"MEDTRONIC ITALIA SPA"</f>
        <v>MEDTRONIC ITALIA SPA</v>
      </c>
      <c r="F1845" s="13" t="s">
        <v>14</v>
      </c>
      <c r="G1845" s="15">
        <v>343.2</v>
      </c>
    </row>
    <row r="1846" spans="1:7" ht="22.5" x14ac:dyDescent="0.25">
      <c r="A1846" s="13">
        <v>14204</v>
      </c>
      <c r="B1846" s="14">
        <v>43445.439016203702</v>
      </c>
      <c r="C1846" s="13" t="s">
        <v>10</v>
      </c>
      <c r="D1846" s="13" t="str">
        <f>"MATERIALE DIAGNOSTICO (W)"</f>
        <v>MATERIALE DIAGNOSTICO (W)</v>
      </c>
      <c r="E1846" s="13" t="str">
        <f>"MEDICAL SYSTEMS SPA"</f>
        <v>MEDICAL SYSTEMS SPA</v>
      </c>
      <c r="F1846" s="13" t="s">
        <v>14</v>
      </c>
      <c r="G1846" s="15">
        <v>643.34</v>
      </c>
    </row>
    <row r="1847" spans="1:7" ht="22.5" x14ac:dyDescent="0.25">
      <c r="A1847" s="13">
        <v>14205</v>
      </c>
      <c r="B1847" s="14">
        <v>43445.439016203702</v>
      </c>
      <c r="C1847" s="13" t="s">
        <v>10</v>
      </c>
      <c r="D1847" s="13" t="str">
        <f t="shared" ref="D1847:D1852" si="130">"MATERIALE PROTESICO"</f>
        <v>MATERIALE PROTESICO</v>
      </c>
      <c r="E1847" s="13" t="str">
        <f>"MEDICAL 2011 SRL"</f>
        <v>MEDICAL 2011 SRL</v>
      </c>
      <c r="F1847" s="13" t="s">
        <v>14</v>
      </c>
      <c r="G1847" s="15">
        <v>242</v>
      </c>
    </row>
    <row r="1848" spans="1:7" ht="22.5" x14ac:dyDescent="0.25">
      <c r="A1848" s="13">
        <v>14206</v>
      </c>
      <c r="B1848" s="14">
        <v>43445.439016203702</v>
      </c>
      <c r="C1848" s="13" t="s">
        <v>10</v>
      </c>
      <c r="D1848" s="13" t="str">
        <f t="shared" si="130"/>
        <v>MATERIALE PROTESICO</v>
      </c>
      <c r="E1848" s="13" t="str">
        <f>"MEDICAL 2011 SRL"</f>
        <v>MEDICAL 2011 SRL</v>
      </c>
      <c r="F1848" s="13" t="s">
        <v>14</v>
      </c>
      <c r="G1848" s="15">
        <v>210</v>
      </c>
    </row>
    <row r="1849" spans="1:7" ht="22.5" x14ac:dyDescent="0.25">
      <c r="A1849" s="13">
        <v>14207</v>
      </c>
      <c r="B1849" s="14">
        <v>43445.439016203702</v>
      </c>
      <c r="C1849" s="13" t="s">
        <v>10</v>
      </c>
      <c r="D1849" s="13" t="str">
        <f t="shared" si="130"/>
        <v>MATERIALE PROTESICO</v>
      </c>
      <c r="E1849" s="13" t="str">
        <f>"MEDICAL 2011 SRL"</f>
        <v>MEDICAL 2011 SRL</v>
      </c>
      <c r="F1849" s="13" t="s">
        <v>14</v>
      </c>
      <c r="G1849" s="15">
        <v>121</v>
      </c>
    </row>
    <row r="1850" spans="1:7" ht="22.5" x14ac:dyDescent="0.25">
      <c r="A1850" s="13">
        <v>14208</v>
      </c>
      <c r="B1850" s="14">
        <v>43445.439016203702</v>
      </c>
      <c r="C1850" s="13" t="s">
        <v>10</v>
      </c>
      <c r="D1850" s="13" t="str">
        <f t="shared" si="130"/>
        <v>MATERIALE PROTESICO</v>
      </c>
      <c r="E1850" s="13" t="str">
        <f>"MEDTRONIC ITALIA SPA"</f>
        <v>MEDTRONIC ITALIA SPA</v>
      </c>
      <c r="F1850" s="13" t="s">
        <v>14</v>
      </c>
      <c r="G1850" s="15">
        <v>77</v>
      </c>
    </row>
    <row r="1851" spans="1:7" ht="22.5" x14ac:dyDescent="0.25">
      <c r="A1851" s="13">
        <v>14209</v>
      </c>
      <c r="B1851" s="14">
        <v>43445.439016203702</v>
      </c>
      <c r="C1851" s="13" t="s">
        <v>10</v>
      </c>
      <c r="D1851" s="13" t="str">
        <f t="shared" si="130"/>
        <v>MATERIALE PROTESICO</v>
      </c>
      <c r="E1851" s="13" t="str">
        <f>"MEDTRONIC ITALIA SPA"</f>
        <v>MEDTRONIC ITALIA SPA</v>
      </c>
      <c r="F1851" s="13" t="s">
        <v>14</v>
      </c>
      <c r="G1851" s="15">
        <v>1576</v>
      </c>
    </row>
    <row r="1852" spans="1:7" ht="22.5" x14ac:dyDescent="0.25">
      <c r="A1852" s="13">
        <v>14210</v>
      </c>
      <c r="B1852" s="14">
        <v>43445.439016203702</v>
      </c>
      <c r="C1852" s="13" t="s">
        <v>10</v>
      </c>
      <c r="D1852" s="13" t="str">
        <f t="shared" si="130"/>
        <v>MATERIALE PROTESICO</v>
      </c>
      <c r="E1852" s="13" t="str">
        <f>"MEDTRONIC ITALIA SPA"</f>
        <v>MEDTRONIC ITALIA SPA</v>
      </c>
      <c r="F1852" s="13" t="s">
        <v>14</v>
      </c>
      <c r="G1852" s="15">
        <v>1350</v>
      </c>
    </row>
    <row r="1853" spans="1:7" ht="33.75" x14ac:dyDescent="0.25">
      <c r="A1853" s="13">
        <v>14211</v>
      </c>
      <c r="B1853" s="14">
        <v>43445.439016203702</v>
      </c>
      <c r="C1853" s="13" t="s">
        <v>10</v>
      </c>
      <c r="D1853" s="13" t="str">
        <f>"PRESIDI MEDICO-CHIRURGICI GENERICI E AUSILI TECNICI PER DISABILI T"</f>
        <v>PRESIDI MEDICO-CHIRURGICI GENERICI E AUSILI TECNICI PER DISABILI T</v>
      </c>
      <c r="E1853" s="13" t="str">
        <f>"MEDICAL 2011 SRL"</f>
        <v>MEDICAL 2011 SRL</v>
      </c>
      <c r="F1853" s="13" t="s">
        <v>14</v>
      </c>
      <c r="G1853" s="15">
        <v>1928.91</v>
      </c>
    </row>
    <row r="1854" spans="1:7" ht="33.75" x14ac:dyDescent="0.25">
      <c r="A1854" s="13">
        <v>14212</v>
      </c>
      <c r="B1854" s="14">
        <v>43445.439016203702</v>
      </c>
      <c r="C1854" s="13" t="s">
        <v>10</v>
      </c>
      <c r="D1854" s="13" t="str">
        <f>"PRESIDI MEDICO-CHIRURGICI GENERICI E AUSILI TECNICI PER DISABILI T"</f>
        <v>PRESIDI MEDICO-CHIRURGICI GENERICI E AUSILI TECNICI PER DISABILI T</v>
      </c>
      <c r="E1854" s="13" t="str">
        <f>"MEDLINE INTERNATIONAL ITALY SRL Unipersonale"</f>
        <v>MEDLINE INTERNATIONAL ITALY SRL Unipersonale</v>
      </c>
      <c r="F1854" s="13" t="s">
        <v>14</v>
      </c>
      <c r="G1854" s="15">
        <v>2241</v>
      </c>
    </row>
    <row r="1855" spans="1:7" ht="33.75" x14ac:dyDescent="0.25">
      <c r="A1855" s="13">
        <v>14213</v>
      </c>
      <c r="B1855" s="14">
        <v>43445.439016203702</v>
      </c>
      <c r="C1855" s="13" t="s">
        <v>10</v>
      </c>
      <c r="D1855" s="13" t="str">
        <f>"PRESIDI MEDICO-CHIRURGICI GENERICI E AUSILI TECNICI PER DISABILI Y"</f>
        <v>PRESIDI MEDICO-CHIRURGICI GENERICI E AUSILI TECNICI PER DISABILI Y</v>
      </c>
      <c r="E1855" s="13" t="str">
        <f>"MEDISAN SRL"</f>
        <v>MEDISAN SRL</v>
      </c>
      <c r="F1855" s="13" t="s">
        <v>14</v>
      </c>
      <c r="G1855" s="15">
        <v>221.92</v>
      </c>
    </row>
    <row r="1856" spans="1:7" ht="33.75" x14ac:dyDescent="0.25">
      <c r="A1856" s="13">
        <v>14214</v>
      </c>
      <c r="B1856" s="14">
        <v>43445.439027777778</v>
      </c>
      <c r="C1856" s="13" t="s">
        <v>10</v>
      </c>
      <c r="D1856" s="13" t="str">
        <f>"APP.RE SANITARIE E RELATIVI COMPONENTI ACCESSORI E MATERIALE RADIOGRAFICO (Z)"</f>
        <v>APP.RE SANITARIE E RELATIVI COMPONENTI ACCESSORI E MATERIALE RADIOGRAFICO (Z)</v>
      </c>
      <c r="E1856" s="13" t="str">
        <f>"MIDA TECNOLOGIA MEDICA SPA"</f>
        <v>MIDA TECNOLOGIA MEDICA SPA</v>
      </c>
      <c r="F1856" s="13" t="s">
        <v>14</v>
      </c>
      <c r="G1856" s="15">
        <v>10666.2</v>
      </c>
    </row>
    <row r="1857" spans="1:7" ht="33.75" x14ac:dyDescent="0.25">
      <c r="A1857" s="13">
        <v>14215</v>
      </c>
      <c r="B1857" s="14">
        <v>43445.439027777778</v>
      </c>
      <c r="C1857" s="13" t="s">
        <v>10</v>
      </c>
      <c r="D1857" s="13" t="str">
        <f>"APP.RE SANITARIE E RELATIVI COMPONENTI ACCESSORI E MATERIALE RADIOGRAFICO (Z)"</f>
        <v>APP.RE SANITARIE E RELATIVI COMPONENTI ACCESSORI E MATERIALE RADIOGRAFICO (Z)</v>
      </c>
      <c r="E1857" s="13" t="str">
        <f>"MIDA TECNOLOGIA MEDICA SPA"</f>
        <v>MIDA TECNOLOGIA MEDICA SPA</v>
      </c>
      <c r="F1857" s="13" t="s">
        <v>14</v>
      </c>
      <c r="G1857" s="15">
        <v>3720.02</v>
      </c>
    </row>
    <row r="1858" spans="1:7" ht="22.5" x14ac:dyDescent="0.25">
      <c r="A1858" s="13">
        <v>14216</v>
      </c>
      <c r="B1858" s="14">
        <v>43445.439027777778</v>
      </c>
      <c r="C1858" s="13" t="s">
        <v>10</v>
      </c>
      <c r="D1858" s="13" t="str">
        <f>"BENI IMPORTO &lt; EURO 309,88 I.C."</f>
        <v>BENI IMPORTO &lt; EURO 309,88 I.C.</v>
      </c>
      <c r="E1858" s="13" t="str">
        <f>"MEGATEC SRL"</f>
        <v>MEGATEC SRL</v>
      </c>
      <c r="F1858" s="13" t="s">
        <v>14</v>
      </c>
      <c r="G1858" s="15">
        <v>195.17</v>
      </c>
    </row>
    <row r="1859" spans="1:7" ht="22.5" x14ac:dyDescent="0.25">
      <c r="A1859" s="13">
        <v>14217</v>
      </c>
      <c r="B1859" s="14">
        <v>43445.439027777778</v>
      </c>
      <c r="C1859" s="13" t="s">
        <v>10</v>
      </c>
      <c r="D1859" s="13" t="str">
        <f t="shared" ref="D1859:D1868" si="131">"MATERIALE PROTESICO"</f>
        <v>MATERIALE PROTESICO</v>
      </c>
      <c r="E1859" s="13" t="str">
        <f t="shared" ref="E1859:E1865" si="132">"MICROPORT SCIENTIFIC SRL a Socio Unico"</f>
        <v>MICROPORT SCIENTIFIC SRL a Socio Unico</v>
      </c>
      <c r="F1859" s="13" t="s">
        <v>14</v>
      </c>
      <c r="G1859" s="15">
        <v>2358.8000000000002</v>
      </c>
    </row>
    <row r="1860" spans="1:7" ht="22.5" x14ac:dyDescent="0.25">
      <c r="A1860" s="13">
        <v>14218</v>
      </c>
      <c r="B1860" s="14">
        <v>43445.439027777778</v>
      </c>
      <c r="C1860" s="13" t="s">
        <v>10</v>
      </c>
      <c r="D1860" s="13" t="str">
        <f t="shared" si="131"/>
        <v>MATERIALE PROTESICO</v>
      </c>
      <c r="E1860" s="13" t="str">
        <f t="shared" si="132"/>
        <v>MICROPORT SCIENTIFIC SRL a Socio Unico</v>
      </c>
      <c r="F1860" s="13" t="s">
        <v>14</v>
      </c>
      <c r="G1860" s="15">
        <v>2358.8000000000002</v>
      </c>
    </row>
    <row r="1861" spans="1:7" ht="22.5" x14ac:dyDescent="0.25">
      <c r="A1861" s="13">
        <v>14219</v>
      </c>
      <c r="B1861" s="14">
        <v>43445.439027777778</v>
      </c>
      <c r="C1861" s="13" t="s">
        <v>10</v>
      </c>
      <c r="D1861" s="13" t="str">
        <f t="shared" si="131"/>
        <v>MATERIALE PROTESICO</v>
      </c>
      <c r="E1861" s="13" t="str">
        <f t="shared" si="132"/>
        <v>MICROPORT SCIENTIFIC SRL a Socio Unico</v>
      </c>
      <c r="F1861" s="13" t="s">
        <v>14</v>
      </c>
      <c r="G1861" s="15">
        <v>1844.5</v>
      </c>
    </row>
    <row r="1862" spans="1:7" ht="22.5" x14ac:dyDescent="0.25">
      <c r="A1862" s="13">
        <v>14220</v>
      </c>
      <c r="B1862" s="14">
        <v>43445.439027777778</v>
      </c>
      <c r="C1862" s="13" t="s">
        <v>10</v>
      </c>
      <c r="D1862" s="13" t="str">
        <f t="shared" si="131"/>
        <v>MATERIALE PROTESICO</v>
      </c>
      <c r="E1862" s="13" t="str">
        <f t="shared" si="132"/>
        <v>MICROPORT SCIENTIFIC SRL a Socio Unico</v>
      </c>
      <c r="F1862" s="13" t="s">
        <v>14</v>
      </c>
      <c r="G1862" s="15">
        <v>2324.5</v>
      </c>
    </row>
    <row r="1863" spans="1:7" ht="22.5" x14ac:dyDescent="0.25">
      <c r="A1863" s="13">
        <v>14221</v>
      </c>
      <c r="B1863" s="14">
        <v>43445.439027777778</v>
      </c>
      <c r="C1863" s="13" t="s">
        <v>10</v>
      </c>
      <c r="D1863" s="13" t="str">
        <f t="shared" si="131"/>
        <v>MATERIALE PROTESICO</v>
      </c>
      <c r="E1863" s="13" t="str">
        <f t="shared" si="132"/>
        <v>MICROPORT SCIENTIFIC SRL a Socio Unico</v>
      </c>
      <c r="F1863" s="13" t="s">
        <v>14</v>
      </c>
      <c r="G1863" s="15">
        <v>725.4</v>
      </c>
    </row>
    <row r="1864" spans="1:7" ht="22.5" x14ac:dyDescent="0.25">
      <c r="A1864" s="13">
        <v>14222</v>
      </c>
      <c r="B1864" s="14">
        <v>43445.439027777778</v>
      </c>
      <c r="C1864" s="13" t="s">
        <v>10</v>
      </c>
      <c r="D1864" s="13" t="str">
        <f t="shared" si="131"/>
        <v>MATERIALE PROTESICO</v>
      </c>
      <c r="E1864" s="13" t="str">
        <f t="shared" si="132"/>
        <v>MICROPORT SCIENTIFIC SRL a Socio Unico</v>
      </c>
      <c r="F1864" s="13" t="s">
        <v>14</v>
      </c>
      <c r="G1864" s="15">
        <v>261.89999999999998</v>
      </c>
    </row>
    <row r="1865" spans="1:7" ht="22.5" x14ac:dyDescent="0.25">
      <c r="A1865" s="13">
        <v>14223</v>
      </c>
      <c r="B1865" s="14">
        <v>43445.439027777778</v>
      </c>
      <c r="C1865" s="13" t="s">
        <v>10</v>
      </c>
      <c r="D1865" s="13" t="str">
        <f t="shared" si="131"/>
        <v>MATERIALE PROTESICO</v>
      </c>
      <c r="E1865" s="13" t="str">
        <f t="shared" si="132"/>
        <v>MICROPORT SCIENTIFIC SRL a Socio Unico</v>
      </c>
      <c r="F1865" s="13" t="s">
        <v>14</v>
      </c>
      <c r="G1865" s="15">
        <v>874.5</v>
      </c>
    </row>
    <row r="1866" spans="1:7" ht="22.5" x14ac:dyDescent="0.25">
      <c r="A1866" s="13">
        <v>14224</v>
      </c>
      <c r="B1866" s="14">
        <v>43445.439027777778</v>
      </c>
      <c r="C1866" s="13" t="s">
        <v>10</v>
      </c>
      <c r="D1866" s="13" t="str">
        <f t="shared" si="131"/>
        <v>MATERIALE PROTESICO</v>
      </c>
      <c r="E1866" s="13" t="str">
        <f>"MIDA TECNOLOGIA MEDICA SPA"</f>
        <v>MIDA TECNOLOGIA MEDICA SPA</v>
      </c>
      <c r="F1866" s="13" t="s">
        <v>14</v>
      </c>
      <c r="G1866" s="15">
        <v>15498.76</v>
      </c>
    </row>
    <row r="1867" spans="1:7" ht="22.5" x14ac:dyDescent="0.25">
      <c r="A1867" s="13">
        <v>14225</v>
      </c>
      <c r="B1867" s="14">
        <v>43445.439027777778</v>
      </c>
      <c r="C1867" s="13" t="s">
        <v>10</v>
      </c>
      <c r="D1867" s="13" t="str">
        <f t="shared" si="131"/>
        <v>MATERIALE PROTESICO</v>
      </c>
      <c r="E1867" s="13" t="str">
        <f>"MIDA TECNOLOGIA MEDICA SPA"</f>
        <v>MIDA TECNOLOGIA MEDICA SPA</v>
      </c>
      <c r="F1867" s="13" t="s">
        <v>14</v>
      </c>
      <c r="G1867" s="15">
        <v>656.04</v>
      </c>
    </row>
    <row r="1868" spans="1:7" ht="22.5" x14ac:dyDescent="0.25">
      <c r="A1868" s="13">
        <v>14226</v>
      </c>
      <c r="B1868" s="14">
        <v>43445.439027777778</v>
      </c>
      <c r="C1868" s="13" t="s">
        <v>10</v>
      </c>
      <c r="D1868" s="13" t="str">
        <f t="shared" si="131"/>
        <v>MATERIALE PROTESICO</v>
      </c>
      <c r="E1868" s="13" t="str">
        <f>"MIDA TECNOLOGIA MEDICA SPA"</f>
        <v>MIDA TECNOLOGIA MEDICA SPA</v>
      </c>
      <c r="F1868" s="13" t="s">
        <v>14</v>
      </c>
      <c r="G1868" s="15">
        <v>3025</v>
      </c>
    </row>
    <row r="1869" spans="1:7" ht="33.75" x14ac:dyDescent="0.25">
      <c r="A1869" s="13">
        <v>14227</v>
      </c>
      <c r="B1869" s="14">
        <v>43445.439027777778</v>
      </c>
      <c r="C1869" s="13" t="s">
        <v>10</v>
      </c>
      <c r="D1869" s="13" t="str">
        <f>"PRESIDI MEDICO-CHIRURGICI GENERICI E AUSILI TECNICI PER DISABILI H"</f>
        <v>PRESIDI MEDICO-CHIRURGICI GENERICI E AUSILI TECNICI PER DISABILI H</v>
      </c>
      <c r="E1869" s="13" t="str">
        <f>"MEDTRONIC ITALIA SPA"</f>
        <v>MEDTRONIC ITALIA SPA</v>
      </c>
      <c r="F1869" s="13" t="s">
        <v>14</v>
      </c>
      <c r="G1869" s="15">
        <v>285.01</v>
      </c>
    </row>
    <row r="1870" spans="1:7" ht="22.5" x14ac:dyDescent="0.25">
      <c r="A1870" s="13">
        <v>14228</v>
      </c>
      <c r="B1870" s="14">
        <v>43445.439027777778</v>
      </c>
      <c r="C1870" s="13" t="s">
        <v>10</v>
      </c>
      <c r="D1870" s="13" t="str">
        <f>"STRUMENTARIO CHIRURGICO (K, L)"</f>
        <v>STRUMENTARIO CHIRURGICO (K, L)</v>
      </c>
      <c r="E1870" s="13" t="str">
        <f>"MIDA TECNOLOGIA MEDICA SPA"</f>
        <v>MIDA TECNOLOGIA MEDICA SPA</v>
      </c>
      <c r="F1870" s="13" t="s">
        <v>14</v>
      </c>
      <c r="G1870" s="15">
        <v>7451.65</v>
      </c>
    </row>
    <row r="1871" spans="1:7" ht="33.75" x14ac:dyDescent="0.25">
      <c r="A1871" s="13">
        <v>14229</v>
      </c>
      <c r="B1871" s="14">
        <v>43445.439039351855</v>
      </c>
      <c r="C1871" s="13" t="s">
        <v>10</v>
      </c>
      <c r="D1871" s="13" t="str">
        <f>"APP.RE SANITARIE E RELATIVI COMPONENTI ACCESSORI E MATERIALE RADIOGRAFICO (Z)"</f>
        <v>APP.RE SANITARIE E RELATIVI COMPONENTI ACCESSORI E MATERIALE RADIOGRAFICO (Z)</v>
      </c>
      <c r="E1871" s="13" t="str">
        <f>"MIDA TECNOLOGIA MEDICA SPA"</f>
        <v>MIDA TECNOLOGIA MEDICA SPA</v>
      </c>
      <c r="F1871" s="13" t="s">
        <v>14</v>
      </c>
      <c r="G1871" s="15">
        <v>4626.5600000000004</v>
      </c>
    </row>
    <row r="1872" spans="1:7" ht="22.5" x14ac:dyDescent="0.25">
      <c r="A1872" s="13">
        <v>14230</v>
      </c>
      <c r="B1872" s="14">
        <v>43445.439039351855</v>
      </c>
      <c r="C1872" s="13" t="s">
        <v>10</v>
      </c>
      <c r="D1872" s="13" t="str">
        <f t="shared" ref="D1872:D1878" si="133">"MATERIALE PROTESICO"</f>
        <v>MATERIALE PROTESICO</v>
      </c>
      <c r="E1872" s="13" t="str">
        <f t="shared" ref="E1872:E1878" si="134">"MIKAI SPA"</f>
        <v>MIKAI SPA</v>
      </c>
      <c r="F1872" s="13" t="s">
        <v>14</v>
      </c>
      <c r="G1872" s="15">
        <v>503.1</v>
      </c>
    </row>
    <row r="1873" spans="1:7" ht="22.5" x14ac:dyDescent="0.25">
      <c r="A1873" s="13">
        <v>14231</v>
      </c>
      <c r="B1873" s="14">
        <v>43445.439039351855</v>
      </c>
      <c r="C1873" s="13" t="s">
        <v>10</v>
      </c>
      <c r="D1873" s="13" t="str">
        <f t="shared" si="133"/>
        <v>MATERIALE PROTESICO</v>
      </c>
      <c r="E1873" s="13" t="str">
        <f t="shared" si="134"/>
        <v>MIKAI SPA</v>
      </c>
      <c r="F1873" s="13" t="s">
        <v>14</v>
      </c>
      <c r="G1873" s="15">
        <v>1418.95</v>
      </c>
    </row>
    <row r="1874" spans="1:7" ht="22.5" x14ac:dyDescent="0.25">
      <c r="A1874" s="13">
        <v>14232</v>
      </c>
      <c r="B1874" s="14">
        <v>43445.439039351855</v>
      </c>
      <c r="C1874" s="13" t="s">
        <v>10</v>
      </c>
      <c r="D1874" s="13" t="str">
        <f t="shared" si="133"/>
        <v>MATERIALE PROTESICO</v>
      </c>
      <c r="E1874" s="13" t="str">
        <f t="shared" si="134"/>
        <v>MIKAI SPA</v>
      </c>
      <c r="F1874" s="13" t="s">
        <v>14</v>
      </c>
      <c r="G1874" s="15">
        <v>876.85</v>
      </c>
    </row>
    <row r="1875" spans="1:7" ht="22.5" x14ac:dyDescent="0.25">
      <c r="A1875" s="13">
        <v>14233</v>
      </c>
      <c r="B1875" s="14">
        <v>43445.439039351855</v>
      </c>
      <c r="C1875" s="13" t="s">
        <v>10</v>
      </c>
      <c r="D1875" s="13" t="str">
        <f t="shared" si="133"/>
        <v>MATERIALE PROTESICO</v>
      </c>
      <c r="E1875" s="13" t="str">
        <f t="shared" si="134"/>
        <v>MIKAI SPA</v>
      </c>
      <c r="F1875" s="13" t="s">
        <v>14</v>
      </c>
      <c r="G1875" s="15">
        <v>1209</v>
      </c>
    </row>
    <row r="1876" spans="1:7" ht="22.5" x14ac:dyDescent="0.25">
      <c r="A1876" s="13">
        <v>14234</v>
      </c>
      <c r="B1876" s="14">
        <v>43445.439039351855</v>
      </c>
      <c r="C1876" s="13" t="s">
        <v>10</v>
      </c>
      <c r="D1876" s="13" t="str">
        <f t="shared" si="133"/>
        <v>MATERIALE PROTESICO</v>
      </c>
      <c r="E1876" s="13" t="str">
        <f t="shared" si="134"/>
        <v>MIKAI SPA</v>
      </c>
      <c r="F1876" s="13" t="s">
        <v>14</v>
      </c>
      <c r="G1876" s="15">
        <v>833.95</v>
      </c>
    </row>
    <row r="1877" spans="1:7" ht="22.5" x14ac:dyDescent="0.25">
      <c r="A1877" s="13">
        <v>14235</v>
      </c>
      <c r="B1877" s="14">
        <v>43445.439039351855</v>
      </c>
      <c r="C1877" s="13" t="s">
        <v>10</v>
      </c>
      <c r="D1877" s="13" t="str">
        <f t="shared" si="133"/>
        <v>MATERIALE PROTESICO</v>
      </c>
      <c r="E1877" s="13" t="str">
        <f t="shared" si="134"/>
        <v>MIKAI SPA</v>
      </c>
      <c r="F1877" s="13" t="s">
        <v>14</v>
      </c>
      <c r="G1877" s="15">
        <v>1014</v>
      </c>
    </row>
    <row r="1878" spans="1:7" ht="22.5" x14ac:dyDescent="0.25">
      <c r="A1878" s="13">
        <v>14236</v>
      </c>
      <c r="B1878" s="14">
        <v>43445.439039351855</v>
      </c>
      <c r="C1878" s="13" t="s">
        <v>10</v>
      </c>
      <c r="D1878" s="13" t="str">
        <f t="shared" si="133"/>
        <v>MATERIALE PROTESICO</v>
      </c>
      <c r="E1878" s="13" t="str">
        <f t="shared" si="134"/>
        <v>MIKAI SPA</v>
      </c>
      <c r="F1878" s="13" t="s">
        <v>14</v>
      </c>
      <c r="G1878" s="15">
        <v>595.4</v>
      </c>
    </row>
    <row r="1879" spans="1:7" ht="33.75" x14ac:dyDescent="0.25">
      <c r="A1879" s="13">
        <v>14237</v>
      </c>
      <c r="B1879" s="14">
        <v>43445.439039351855</v>
      </c>
      <c r="C1879" s="13" t="s">
        <v>10</v>
      </c>
      <c r="D1879" s="13" t="str">
        <f>"PRESIDI MEDICO-CHIRURGICI GENERICI E AUSILI TECNICI PER DISABILI T"</f>
        <v>PRESIDI MEDICO-CHIRURGICI GENERICI E AUSILI TECNICI PER DISABILI T</v>
      </c>
      <c r="E1879" s="13" t="str">
        <f>"MIDA TECNOLOGIA MEDICA SPA"</f>
        <v>MIDA TECNOLOGIA MEDICA SPA</v>
      </c>
      <c r="F1879" s="13" t="s">
        <v>14</v>
      </c>
      <c r="G1879" s="15">
        <v>825</v>
      </c>
    </row>
    <row r="1880" spans="1:7" ht="22.5" x14ac:dyDescent="0.25">
      <c r="A1880" s="13">
        <v>14238</v>
      </c>
      <c r="B1880" s="14">
        <v>43445.439039351855</v>
      </c>
      <c r="C1880" s="13" t="s">
        <v>10</v>
      </c>
      <c r="D1880" s="13" t="str">
        <f>"STRUMENTARIO CHIRURGICO (K, L)"</f>
        <v>STRUMENTARIO CHIRURGICO (K, L)</v>
      </c>
      <c r="E1880" s="13" t="str">
        <f>"MIDA TECNOLOGIA MEDICA SPA"</f>
        <v>MIDA TECNOLOGIA MEDICA SPA</v>
      </c>
      <c r="F1880" s="13" t="s">
        <v>14</v>
      </c>
      <c r="G1880" s="15">
        <v>1416.8</v>
      </c>
    </row>
    <row r="1881" spans="1:7" ht="22.5" x14ac:dyDescent="0.25">
      <c r="A1881" s="13">
        <v>14239</v>
      </c>
      <c r="B1881" s="14">
        <v>43445.439039351855</v>
      </c>
      <c r="C1881" s="13" t="s">
        <v>10</v>
      </c>
      <c r="D1881" s="13" t="str">
        <f>"STRUMENTARIO CHIRURGICO (K, L)"</f>
        <v>STRUMENTARIO CHIRURGICO (K, L)</v>
      </c>
      <c r="E1881" s="13" t="str">
        <f>"MIKAI SPA"</f>
        <v>MIKAI SPA</v>
      </c>
      <c r="F1881" s="13" t="s">
        <v>14</v>
      </c>
      <c r="G1881" s="15">
        <v>684.45</v>
      </c>
    </row>
    <row r="1882" spans="1:7" ht="33.75" x14ac:dyDescent="0.25">
      <c r="A1882" s="13">
        <v>14240</v>
      </c>
      <c r="B1882" s="14">
        <v>43445.439050925925</v>
      </c>
      <c r="C1882" s="13" t="s">
        <v>10</v>
      </c>
      <c r="D1882" s="13" t="str">
        <f>"APP.RE SANITARIE E RELATIVI COMPONENTI ACCESSORI E MATERIALE RADIOGRAFICO (Z)"</f>
        <v>APP.RE SANITARIE E RELATIVI COMPONENTI ACCESSORI E MATERIALE RADIOGRAFICO (Z)</v>
      </c>
      <c r="E1882" s="13" t="str">
        <f>"MINDRAY MEDICAL ITALY SRL"</f>
        <v>MINDRAY MEDICAL ITALY SRL</v>
      </c>
      <c r="F1882" s="13" t="s">
        <v>14</v>
      </c>
      <c r="G1882" s="15">
        <v>546</v>
      </c>
    </row>
    <row r="1883" spans="1:7" ht="33.75" x14ac:dyDescent="0.25">
      <c r="A1883" s="13">
        <v>14241</v>
      </c>
      <c r="B1883" s="14">
        <v>43445.439050925925</v>
      </c>
      <c r="C1883" s="13" t="s">
        <v>10</v>
      </c>
      <c r="D1883" s="13" t="str">
        <f>"DISPOSITIVI DI SOMMINISTRAZIONE, PRELIEVO E RACCOLTA (CIN A)"</f>
        <v>DISPOSITIVI DI SOMMINISTRAZIONE, PRELIEVO E RACCOLTA (CIN A)</v>
      </c>
      <c r="E1883" s="13" t="str">
        <f>"MULTIMEDICAL SRL"</f>
        <v>MULTIMEDICAL SRL</v>
      </c>
      <c r="F1883" s="13" t="s">
        <v>14</v>
      </c>
      <c r="G1883" s="15">
        <v>5980</v>
      </c>
    </row>
    <row r="1884" spans="1:7" ht="22.5" x14ac:dyDescent="0.25">
      <c r="A1884" s="13">
        <v>14242</v>
      </c>
      <c r="B1884" s="14">
        <v>43445.439050925925</v>
      </c>
      <c r="C1884" s="13" t="s">
        <v>10</v>
      </c>
      <c r="D1884" s="13" t="str">
        <f t="shared" ref="D1884:D1890" si="135">"FARMACI FILE F"</f>
        <v>FARMACI FILE F</v>
      </c>
      <c r="E1884" s="13" t="str">
        <f>"MSD ITALIA SRL"</f>
        <v>MSD ITALIA SRL</v>
      </c>
      <c r="F1884" s="13" t="s">
        <v>14</v>
      </c>
      <c r="G1884" s="15">
        <v>18306.599999999999</v>
      </c>
    </row>
    <row r="1885" spans="1:7" ht="22.5" x14ac:dyDescent="0.25">
      <c r="A1885" s="13">
        <v>14243</v>
      </c>
      <c r="B1885" s="14">
        <v>43445.439050925925</v>
      </c>
      <c r="C1885" s="13" t="s">
        <v>10</v>
      </c>
      <c r="D1885" s="13" t="str">
        <f t="shared" si="135"/>
        <v>FARMACI FILE F</v>
      </c>
      <c r="E1885" s="13" t="str">
        <f t="shared" ref="E1885:E1890" si="136">"MUNDIPHARMA PHARMACEUTICALS SRL"</f>
        <v>MUNDIPHARMA PHARMACEUTICALS SRL</v>
      </c>
      <c r="F1885" s="13" t="s">
        <v>14</v>
      </c>
      <c r="G1885" s="15">
        <v>4212</v>
      </c>
    </row>
    <row r="1886" spans="1:7" ht="22.5" x14ac:dyDescent="0.25">
      <c r="A1886" s="13">
        <v>14244</v>
      </c>
      <c r="B1886" s="14">
        <v>43445.439050925925</v>
      </c>
      <c r="C1886" s="13" t="s">
        <v>10</v>
      </c>
      <c r="D1886" s="13" t="str">
        <f t="shared" si="135"/>
        <v>FARMACI FILE F</v>
      </c>
      <c r="E1886" s="13" t="str">
        <f t="shared" si="136"/>
        <v>MUNDIPHARMA PHARMACEUTICALS SRL</v>
      </c>
      <c r="F1886" s="13" t="s">
        <v>14</v>
      </c>
      <c r="G1886" s="15">
        <v>5148</v>
      </c>
    </row>
    <row r="1887" spans="1:7" ht="22.5" x14ac:dyDescent="0.25">
      <c r="A1887" s="13">
        <v>14245</v>
      </c>
      <c r="B1887" s="14">
        <v>43445.439050925925</v>
      </c>
      <c r="C1887" s="13" t="s">
        <v>10</v>
      </c>
      <c r="D1887" s="13" t="str">
        <f t="shared" si="135"/>
        <v>FARMACI FILE F</v>
      </c>
      <c r="E1887" s="13" t="str">
        <f t="shared" si="136"/>
        <v>MUNDIPHARMA PHARMACEUTICALS SRL</v>
      </c>
      <c r="F1887" s="13" t="s">
        <v>14</v>
      </c>
      <c r="G1887" s="15">
        <v>10062</v>
      </c>
    </row>
    <row r="1888" spans="1:7" ht="22.5" x14ac:dyDescent="0.25">
      <c r="A1888" s="13">
        <v>14246</v>
      </c>
      <c r="B1888" s="14">
        <v>43445.439050925925</v>
      </c>
      <c r="C1888" s="13" t="s">
        <v>10</v>
      </c>
      <c r="D1888" s="13" t="str">
        <f t="shared" si="135"/>
        <v>FARMACI FILE F</v>
      </c>
      <c r="E1888" s="13" t="str">
        <f t="shared" si="136"/>
        <v>MUNDIPHARMA PHARMACEUTICALS SRL</v>
      </c>
      <c r="F1888" s="13" t="s">
        <v>14</v>
      </c>
      <c r="G1888" s="15">
        <v>1663.2</v>
      </c>
    </row>
    <row r="1889" spans="1:7" ht="22.5" x14ac:dyDescent="0.25">
      <c r="A1889" s="13">
        <v>14247</v>
      </c>
      <c r="B1889" s="14">
        <v>43445.439050925925</v>
      </c>
      <c r="C1889" s="13" t="s">
        <v>10</v>
      </c>
      <c r="D1889" s="13" t="str">
        <f t="shared" si="135"/>
        <v>FARMACI FILE F</v>
      </c>
      <c r="E1889" s="13" t="str">
        <f t="shared" si="136"/>
        <v>MUNDIPHARMA PHARMACEUTICALS SRL</v>
      </c>
      <c r="F1889" s="13" t="s">
        <v>14</v>
      </c>
      <c r="G1889" s="15">
        <v>4989.6000000000004</v>
      </c>
    </row>
    <row r="1890" spans="1:7" ht="22.5" x14ac:dyDescent="0.25">
      <c r="A1890" s="13">
        <v>14248</v>
      </c>
      <c r="B1890" s="14">
        <v>43445.439050925925</v>
      </c>
      <c r="C1890" s="13" t="s">
        <v>10</v>
      </c>
      <c r="D1890" s="13" t="str">
        <f t="shared" si="135"/>
        <v>FARMACI FILE F</v>
      </c>
      <c r="E1890" s="13" t="str">
        <f t="shared" si="136"/>
        <v>MUNDIPHARMA PHARMACEUTICALS SRL</v>
      </c>
      <c r="F1890" s="13" t="s">
        <v>14</v>
      </c>
      <c r="G1890" s="15">
        <v>3326.4</v>
      </c>
    </row>
    <row r="1891" spans="1:7" ht="22.5" x14ac:dyDescent="0.25">
      <c r="A1891" s="13">
        <v>14249</v>
      </c>
      <c r="B1891" s="14">
        <v>43445.439050925925</v>
      </c>
      <c r="C1891" s="13" t="s">
        <v>10</v>
      </c>
      <c r="D1891" s="13" t="str">
        <f>"MATERIALE PROTESICO"</f>
        <v>MATERIALE PROTESICO</v>
      </c>
      <c r="E1891" s="13" t="str">
        <f>"MIKAI SPA"</f>
        <v>MIKAI SPA</v>
      </c>
      <c r="F1891" s="13" t="s">
        <v>14</v>
      </c>
      <c r="G1891" s="15">
        <v>958.1</v>
      </c>
    </row>
    <row r="1892" spans="1:7" ht="22.5" x14ac:dyDescent="0.25">
      <c r="A1892" s="13">
        <v>14250</v>
      </c>
      <c r="B1892" s="14">
        <v>43445.439050925925</v>
      </c>
      <c r="C1892" s="13" t="s">
        <v>10</v>
      </c>
      <c r="D1892" s="13" t="str">
        <f>"MATERIALE PROTESICO"</f>
        <v>MATERIALE PROTESICO</v>
      </c>
      <c r="E1892" s="13" t="str">
        <f>"MIKAI SPA"</f>
        <v>MIKAI SPA</v>
      </c>
      <c r="F1892" s="13" t="s">
        <v>14</v>
      </c>
      <c r="G1892" s="15">
        <v>982.8</v>
      </c>
    </row>
    <row r="1893" spans="1:7" ht="22.5" x14ac:dyDescent="0.25">
      <c r="A1893" s="13">
        <v>14251</v>
      </c>
      <c r="B1893" s="14">
        <v>43445.439050925925</v>
      </c>
      <c r="C1893" s="13" t="s">
        <v>10</v>
      </c>
      <c r="D1893" s="13" t="str">
        <f>"PRODOTTI FARMACEUTICI CON AIC"</f>
        <v>PRODOTTI FARMACEUTICI CON AIC</v>
      </c>
      <c r="E1893" s="13" t="str">
        <f>"MYLAN SPA a Socio Unico"</f>
        <v>MYLAN SPA a Socio Unico</v>
      </c>
      <c r="F1893" s="13" t="s">
        <v>14</v>
      </c>
      <c r="G1893" s="15">
        <v>532.11</v>
      </c>
    </row>
    <row r="1894" spans="1:7" ht="22.5" x14ac:dyDescent="0.25">
      <c r="A1894" s="13">
        <v>14252</v>
      </c>
      <c r="B1894" s="14">
        <v>43445.439050925925</v>
      </c>
      <c r="C1894" s="13" t="s">
        <v>10</v>
      </c>
      <c r="D1894" s="13" t="str">
        <f>"PRODOTTI FARMACEUTICI CON AIC"</f>
        <v>PRODOTTI FARMACEUTICI CON AIC</v>
      </c>
      <c r="E1894" s="13" t="str">
        <f>"PFIZER ITALIA SRL"</f>
        <v>PFIZER ITALIA SRL</v>
      </c>
      <c r="F1894" s="13" t="s">
        <v>14</v>
      </c>
      <c r="G1894" s="15">
        <v>0.05</v>
      </c>
    </row>
    <row r="1895" spans="1:7" ht="22.5" x14ac:dyDescent="0.25">
      <c r="A1895" s="13">
        <v>14253</v>
      </c>
      <c r="B1895" s="14">
        <v>43445.439062500001</v>
      </c>
      <c r="C1895" s="13" t="s">
        <v>10</v>
      </c>
      <c r="D1895" s="13" t="str">
        <f>"CANCELLERIA E SUPPORTI MECCANOGRAFICI"</f>
        <v>CANCELLERIA E SUPPORTI MECCANOGRAFICI</v>
      </c>
      <c r="E1895" s="13" t="str">
        <f>"RUBBETTINO SRL"</f>
        <v>RUBBETTINO SRL</v>
      </c>
      <c r="F1895" s="13" t="s">
        <v>14</v>
      </c>
      <c r="G1895" s="15">
        <v>860.5</v>
      </c>
    </row>
    <row r="1896" spans="1:7" ht="22.5" x14ac:dyDescent="0.25">
      <c r="A1896" s="13">
        <v>14254</v>
      </c>
      <c r="B1896" s="14">
        <v>43445.439062500001</v>
      </c>
      <c r="C1896" s="13" t="s">
        <v>10</v>
      </c>
      <c r="D1896" s="13" t="str">
        <f>"CANCELLERIA E SUPPORTI MECCANOGRAFICI"</f>
        <v>CANCELLERIA E SUPPORTI MECCANOGRAFICI</v>
      </c>
      <c r="E1896" s="13" t="str">
        <f>"RUBBETTINO SRL"</f>
        <v>RUBBETTINO SRL</v>
      </c>
      <c r="F1896" s="13" t="s">
        <v>14</v>
      </c>
      <c r="G1896" s="15">
        <v>3542</v>
      </c>
    </row>
    <row r="1897" spans="1:7" ht="22.5" x14ac:dyDescent="0.25">
      <c r="A1897" s="13">
        <v>14255</v>
      </c>
      <c r="B1897" s="14">
        <v>43445.439062500001</v>
      </c>
      <c r="C1897" s="13" t="s">
        <v>10</v>
      </c>
      <c r="D1897" s="13" t="str">
        <f>"FARMACI FILE F"</f>
        <v>FARMACI FILE F</v>
      </c>
      <c r="E1897" s="13" t="str">
        <f>"SANDOZ SPA"</f>
        <v>SANDOZ SPA</v>
      </c>
      <c r="F1897" s="13" t="s">
        <v>14</v>
      </c>
      <c r="G1897" s="15">
        <v>326.88</v>
      </c>
    </row>
    <row r="1898" spans="1:7" ht="22.5" x14ac:dyDescent="0.25">
      <c r="A1898" s="13">
        <v>14256</v>
      </c>
      <c r="B1898" s="14">
        <v>43445.439062500001</v>
      </c>
      <c r="C1898" s="13" t="s">
        <v>10</v>
      </c>
      <c r="D1898" s="13" t="str">
        <f>"MATERIALE PROTESICO"</f>
        <v>MATERIALE PROTESICO</v>
      </c>
      <c r="E1898" s="13" t="str">
        <f>"SMITH &amp; NEPHEW SRL Societa Unipersonale"</f>
        <v>SMITH &amp; NEPHEW SRL Societa Unipersonale</v>
      </c>
      <c r="F1898" s="13" t="s">
        <v>14</v>
      </c>
      <c r="G1898" s="15">
        <v>791.7</v>
      </c>
    </row>
    <row r="1899" spans="1:7" ht="22.5" x14ac:dyDescent="0.25">
      <c r="A1899" s="13">
        <v>14257</v>
      </c>
      <c r="B1899" s="14">
        <v>43445.439062500001</v>
      </c>
      <c r="C1899" s="13" t="s">
        <v>10</v>
      </c>
      <c r="D1899" s="13" t="str">
        <f>"MATERIALE PROTESICO"</f>
        <v>MATERIALE PROTESICO</v>
      </c>
      <c r="E1899" s="13" t="str">
        <f>"SMITH &amp; NEPHEW SRL Societa Unipersonale"</f>
        <v>SMITH &amp; NEPHEW SRL Societa Unipersonale</v>
      </c>
      <c r="F1899" s="13" t="s">
        <v>14</v>
      </c>
      <c r="G1899" s="15">
        <v>615</v>
      </c>
    </row>
    <row r="1900" spans="1:7" ht="22.5" x14ac:dyDescent="0.25">
      <c r="A1900" s="13">
        <v>14258</v>
      </c>
      <c r="B1900" s="14">
        <v>43445.439062500001</v>
      </c>
      <c r="C1900" s="13" t="s">
        <v>10</v>
      </c>
      <c r="D1900" s="13" t="str">
        <f>"MATERIALE PROTESICO"</f>
        <v>MATERIALE PROTESICO</v>
      </c>
      <c r="E1900" s="13" t="str">
        <f>"SMITH &amp; NEPHEW SRL Societa Unipersonale"</f>
        <v>SMITH &amp; NEPHEW SRL Societa Unipersonale</v>
      </c>
      <c r="F1900" s="13" t="s">
        <v>14</v>
      </c>
      <c r="G1900" s="15">
        <v>5613.7</v>
      </c>
    </row>
    <row r="1901" spans="1:7" ht="22.5" x14ac:dyDescent="0.25">
      <c r="A1901" s="13">
        <v>14259</v>
      </c>
      <c r="B1901" s="14">
        <v>43445.439062500001</v>
      </c>
      <c r="C1901" s="13" t="s">
        <v>10</v>
      </c>
      <c r="D1901" s="13" t="str">
        <f>"MATERIALE PROTESICO"</f>
        <v>MATERIALE PROTESICO</v>
      </c>
      <c r="E1901" s="13" t="str">
        <f>"SMITH &amp; NEPHEW SRL Societa Unipersonale"</f>
        <v>SMITH &amp; NEPHEW SRL Societa Unipersonale</v>
      </c>
      <c r="F1901" s="13" t="s">
        <v>14</v>
      </c>
      <c r="G1901" s="15">
        <v>395</v>
      </c>
    </row>
    <row r="1902" spans="1:7" ht="22.5" x14ac:dyDescent="0.25">
      <c r="A1902" s="13">
        <v>14260</v>
      </c>
      <c r="B1902" s="14">
        <v>43445.439062500001</v>
      </c>
      <c r="C1902" s="13" t="s">
        <v>10</v>
      </c>
      <c r="D1902" s="13" t="str">
        <f>"MATERIALE PROTESICO"</f>
        <v>MATERIALE PROTESICO</v>
      </c>
      <c r="E1902" s="13" t="str">
        <f>"SMITH &amp; NEPHEW SRL Societa Unipersonale"</f>
        <v>SMITH &amp; NEPHEW SRL Societa Unipersonale</v>
      </c>
      <c r="F1902" s="13" t="s">
        <v>14</v>
      </c>
      <c r="G1902" s="15">
        <v>175</v>
      </c>
    </row>
    <row r="1903" spans="1:7" ht="22.5" x14ac:dyDescent="0.25">
      <c r="A1903" s="13">
        <v>14261</v>
      </c>
      <c r="B1903" s="14">
        <v>43445.439062500001</v>
      </c>
      <c r="C1903" s="13" t="s">
        <v>10</v>
      </c>
      <c r="D1903" s="13" t="str">
        <f>"PRODOTTI FARMACEUTICI CON AIC"</f>
        <v>PRODOTTI FARMACEUTICI CON AIC</v>
      </c>
      <c r="E1903" s="13" t="str">
        <f>"S.A.L.F. SPA"</f>
        <v>S.A.L.F. SPA</v>
      </c>
      <c r="F1903" s="13" t="s">
        <v>14</v>
      </c>
      <c r="G1903" s="15">
        <v>1760.82</v>
      </c>
    </row>
    <row r="1904" spans="1:7" ht="22.5" x14ac:dyDescent="0.25">
      <c r="A1904" s="13">
        <v>14262</v>
      </c>
      <c r="B1904" s="14">
        <v>43445.439062500001</v>
      </c>
      <c r="C1904" s="13" t="s">
        <v>10</v>
      </c>
      <c r="D1904" s="13" t="str">
        <f>"PRODOTTI FARMACEUTICI CON AIC"</f>
        <v>PRODOTTI FARMACEUTICI CON AIC</v>
      </c>
      <c r="E1904" s="13" t="str">
        <f>"SANDOZ SPA"</f>
        <v>SANDOZ SPA</v>
      </c>
      <c r="F1904" s="13" t="s">
        <v>14</v>
      </c>
      <c r="G1904" s="15">
        <v>2657.15</v>
      </c>
    </row>
    <row r="1905" spans="1:7" ht="22.5" x14ac:dyDescent="0.25">
      <c r="A1905" s="13">
        <v>14263</v>
      </c>
      <c r="B1905" s="14">
        <v>43445.439062500001</v>
      </c>
      <c r="C1905" s="13" t="s">
        <v>10</v>
      </c>
      <c r="D1905" s="13" t="str">
        <f>"PRODOTTI FARMACEUTICI CON AIC"</f>
        <v>PRODOTTI FARMACEUTICI CON AIC</v>
      </c>
      <c r="E1905" s="13" t="str">
        <f>"SANOFI SPA"</f>
        <v>SANOFI SPA</v>
      </c>
      <c r="F1905" s="13" t="s">
        <v>14</v>
      </c>
      <c r="G1905" s="15">
        <v>2215.06</v>
      </c>
    </row>
    <row r="1906" spans="1:7" ht="22.5" x14ac:dyDescent="0.25">
      <c r="A1906" s="13">
        <v>14264</v>
      </c>
      <c r="B1906" s="14">
        <v>43445.439074074071</v>
      </c>
      <c r="C1906" s="13" t="s">
        <v>10</v>
      </c>
      <c r="D1906" s="13" t="str">
        <f t="shared" ref="D1906:D1913" si="137">"MATERIALE PROTESICO"</f>
        <v>MATERIALE PROTESICO</v>
      </c>
      <c r="E1906" s="13" t="str">
        <f t="shared" ref="E1906:E1913" si="138">"SMITH &amp; NEPHEW SRL Societa Unipersonale"</f>
        <v>SMITH &amp; NEPHEW SRL Societa Unipersonale</v>
      </c>
      <c r="F1906" s="13" t="s">
        <v>14</v>
      </c>
      <c r="G1906" s="15">
        <v>175</v>
      </c>
    </row>
    <row r="1907" spans="1:7" ht="22.5" x14ac:dyDescent="0.25">
      <c r="A1907" s="13">
        <v>14265</v>
      </c>
      <c r="B1907" s="14">
        <v>43445.439074074071</v>
      </c>
      <c r="C1907" s="13" t="s">
        <v>10</v>
      </c>
      <c r="D1907" s="13" t="str">
        <f t="shared" si="137"/>
        <v>MATERIALE PROTESICO</v>
      </c>
      <c r="E1907" s="13" t="str">
        <f t="shared" si="138"/>
        <v>SMITH &amp; NEPHEW SRL Societa Unipersonale</v>
      </c>
      <c r="F1907" s="13" t="s">
        <v>14</v>
      </c>
      <c r="G1907" s="15">
        <v>752.5</v>
      </c>
    </row>
    <row r="1908" spans="1:7" ht="22.5" x14ac:dyDescent="0.25">
      <c r="A1908" s="13">
        <v>14266</v>
      </c>
      <c r="B1908" s="14">
        <v>43445.439074074071</v>
      </c>
      <c r="C1908" s="13" t="s">
        <v>10</v>
      </c>
      <c r="D1908" s="13" t="str">
        <f t="shared" si="137"/>
        <v>MATERIALE PROTESICO</v>
      </c>
      <c r="E1908" s="13" t="str">
        <f t="shared" si="138"/>
        <v>SMITH &amp; NEPHEW SRL Societa Unipersonale</v>
      </c>
      <c r="F1908" s="13" t="s">
        <v>14</v>
      </c>
      <c r="G1908" s="15">
        <v>615</v>
      </c>
    </row>
    <row r="1909" spans="1:7" ht="22.5" x14ac:dyDescent="0.25">
      <c r="A1909" s="13">
        <v>14267</v>
      </c>
      <c r="B1909" s="14">
        <v>43445.439074074071</v>
      </c>
      <c r="C1909" s="13" t="s">
        <v>10</v>
      </c>
      <c r="D1909" s="13" t="str">
        <f t="shared" si="137"/>
        <v>MATERIALE PROTESICO</v>
      </c>
      <c r="E1909" s="13" t="str">
        <f t="shared" si="138"/>
        <v>SMITH &amp; NEPHEW SRL Societa Unipersonale</v>
      </c>
      <c r="F1909" s="13" t="s">
        <v>14</v>
      </c>
      <c r="G1909" s="15">
        <v>395</v>
      </c>
    </row>
    <row r="1910" spans="1:7" ht="22.5" x14ac:dyDescent="0.25">
      <c r="A1910" s="13">
        <v>14268</v>
      </c>
      <c r="B1910" s="14">
        <v>43445.439074074071</v>
      </c>
      <c r="C1910" s="13" t="s">
        <v>10</v>
      </c>
      <c r="D1910" s="13" t="str">
        <f t="shared" si="137"/>
        <v>MATERIALE PROTESICO</v>
      </c>
      <c r="E1910" s="13" t="str">
        <f t="shared" si="138"/>
        <v>SMITH &amp; NEPHEW SRL Societa Unipersonale</v>
      </c>
      <c r="F1910" s="13" t="s">
        <v>14</v>
      </c>
      <c r="G1910" s="15">
        <v>4458</v>
      </c>
    </row>
    <row r="1911" spans="1:7" ht="22.5" x14ac:dyDescent="0.25">
      <c r="A1911" s="13">
        <v>14269</v>
      </c>
      <c r="B1911" s="14">
        <v>43445.439074074071</v>
      </c>
      <c r="C1911" s="13" t="s">
        <v>10</v>
      </c>
      <c r="D1911" s="13" t="str">
        <f t="shared" si="137"/>
        <v>MATERIALE PROTESICO</v>
      </c>
      <c r="E1911" s="13" t="str">
        <f t="shared" si="138"/>
        <v>SMITH &amp; NEPHEW SRL Societa Unipersonale</v>
      </c>
      <c r="F1911" s="13" t="s">
        <v>14</v>
      </c>
      <c r="G1911" s="15">
        <v>4514.25</v>
      </c>
    </row>
    <row r="1912" spans="1:7" ht="22.5" x14ac:dyDescent="0.25">
      <c r="A1912" s="13">
        <v>14270</v>
      </c>
      <c r="B1912" s="14">
        <v>43445.439074074071</v>
      </c>
      <c r="C1912" s="13" t="s">
        <v>10</v>
      </c>
      <c r="D1912" s="13" t="str">
        <f t="shared" si="137"/>
        <v>MATERIALE PROTESICO</v>
      </c>
      <c r="E1912" s="13" t="str">
        <f t="shared" si="138"/>
        <v>SMITH &amp; NEPHEW SRL Societa Unipersonale</v>
      </c>
      <c r="F1912" s="13" t="s">
        <v>14</v>
      </c>
      <c r="G1912" s="15">
        <v>786.38</v>
      </c>
    </row>
    <row r="1913" spans="1:7" ht="22.5" x14ac:dyDescent="0.25">
      <c r="A1913" s="13">
        <v>14271</v>
      </c>
      <c r="B1913" s="14">
        <v>43445.439074074071</v>
      </c>
      <c r="C1913" s="13" t="s">
        <v>10</v>
      </c>
      <c r="D1913" s="13" t="str">
        <f t="shared" si="137"/>
        <v>MATERIALE PROTESICO</v>
      </c>
      <c r="E1913" s="13" t="str">
        <f t="shared" si="138"/>
        <v>SMITH &amp; NEPHEW SRL Societa Unipersonale</v>
      </c>
      <c r="F1913" s="13" t="s">
        <v>14</v>
      </c>
      <c r="G1913" s="15">
        <v>822.87</v>
      </c>
    </row>
    <row r="1914" spans="1:7" ht="22.5" x14ac:dyDescent="0.25">
      <c r="A1914" s="13">
        <v>14272</v>
      </c>
      <c r="B1914" s="14">
        <v>43445.439074074071</v>
      </c>
      <c r="C1914" s="13" t="s">
        <v>10</v>
      </c>
      <c r="D1914" s="13" t="str">
        <f>"PRESIDI MEDICO-CHIRURGICI SPECIALISTICI B"</f>
        <v>PRESIDI MEDICO-CHIRURGICI SPECIALISTICI B</v>
      </c>
      <c r="E1914" s="13" t="str">
        <f>"SORIN GROUP ITALIA SRL"</f>
        <v>SORIN GROUP ITALIA SRL</v>
      </c>
      <c r="F1914" s="13" t="s">
        <v>14</v>
      </c>
      <c r="G1914" s="15">
        <v>12405</v>
      </c>
    </row>
    <row r="1915" spans="1:7" ht="22.5" x14ac:dyDescent="0.25">
      <c r="A1915" s="13">
        <v>14273</v>
      </c>
      <c r="B1915" s="14">
        <v>43445.439074074071</v>
      </c>
      <c r="C1915" s="13" t="s">
        <v>10</v>
      </c>
      <c r="D1915" s="13" t="str">
        <f>"PRODOTTI CHIMICI: MATERIALI DIAGNOSTICI (SENZA CND)"</f>
        <v>PRODOTTI CHIMICI: MATERIALI DIAGNOSTICI (SENZA CND)</v>
      </c>
      <c r="E1915" s="13" t="str">
        <f>"STEELCO SPA"</f>
        <v>STEELCO SPA</v>
      </c>
      <c r="F1915" s="13" t="s">
        <v>14</v>
      </c>
      <c r="G1915" s="15">
        <v>4251</v>
      </c>
    </row>
    <row r="1916" spans="1:7" ht="22.5" x14ac:dyDescent="0.25">
      <c r="A1916" s="13">
        <v>14274</v>
      </c>
      <c r="B1916" s="14">
        <v>43445.439074074071</v>
      </c>
      <c r="C1916" s="13" t="s">
        <v>10</v>
      </c>
      <c r="D1916" s="13" t="str">
        <f>"PRODOTTI CHIMICI: MATERIALI DIAGNOSTICI (SENZA CND)"</f>
        <v>PRODOTTI CHIMICI: MATERIALI DIAGNOSTICI (SENZA CND)</v>
      </c>
      <c r="E1916" s="13" t="str">
        <f>"STEELCO SPA"</f>
        <v>STEELCO SPA</v>
      </c>
      <c r="F1916" s="13" t="s">
        <v>14</v>
      </c>
      <c r="G1916" s="15">
        <v>1200</v>
      </c>
    </row>
    <row r="1917" spans="1:7" ht="22.5" x14ac:dyDescent="0.25">
      <c r="A1917" s="13">
        <v>14275</v>
      </c>
      <c r="B1917" s="14">
        <v>43445.439085648148</v>
      </c>
      <c r="C1917" s="13" t="s">
        <v>10</v>
      </c>
      <c r="D1917" s="13" t="str">
        <f>"CANCELLERIA E SUPPORTI MECCANOGRAFICI"</f>
        <v>CANCELLERIA E SUPPORTI MECCANOGRAFICI</v>
      </c>
      <c r="E1917" s="13" t="str">
        <f>"SOLUZIONI UFFICIO SRL"</f>
        <v>SOLUZIONI UFFICIO SRL</v>
      </c>
      <c r="F1917" s="13" t="s">
        <v>14</v>
      </c>
      <c r="G1917" s="15">
        <v>692.48</v>
      </c>
    </row>
    <row r="1918" spans="1:7" ht="33.75" x14ac:dyDescent="0.25">
      <c r="A1918" s="13">
        <v>14276</v>
      </c>
      <c r="B1918" s="14">
        <v>43445.439085648148</v>
      </c>
      <c r="C1918" s="13" t="s">
        <v>10</v>
      </c>
      <c r="D1918" s="13" t="str">
        <f>"DISINFETTANTI, PRODOTTI PER STERILIZZAZIONE E DISPOSITIVI VARI D"</f>
        <v>DISINFETTANTI, PRODOTTI PER STERILIZZAZIONE E DISPOSITIVI VARI D</v>
      </c>
      <c r="E1918" s="13" t="str">
        <f>"STERIS SRL"</f>
        <v>STERIS SRL</v>
      </c>
      <c r="F1918" s="13" t="s">
        <v>14</v>
      </c>
      <c r="G1918" s="15">
        <v>320</v>
      </c>
    </row>
    <row r="1919" spans="1:7" ht="22.5" x14ac:dyDescent="0.25">
      <c r="A1919" s="13">
        <v>14277</v>
      </c>
      <c r="B1919" s="14">
        <v>43445.439085648148</v>
      </c>
      <c r="C1919" s="13" t="s">
        <v>10</v>
      </c>
      <c r="D1919" s="13" t="str">
        <f t="shared" ref="D1919:D1929" si="139">"MATERIALE PROTESICO"</f>
        <v>MATERIALE PROTESICO</v>
      </c>
      <c r="E1919" s="13" t="str">
        <f t="shared" ref="E1919:E1929" si="140">"STRYKER ITALIA SRL"</f>
        <v>STRYKER ITALIA SRL</v>
      </c>
      <c r="F1919" s="13" t="s">
        <v>14</v>
      </c>
      <c r="G1919" s="15">
        <v>10000.25</v>
      </c>
    </row>
    <row r="1920" spans="1:7" ht="22.5" x14ac:dyDescent="0.25">
      <c r="A1920" s="13">
        <v>14278</v>
      </c>
      <c r="B1920" s="14">
        <v>43445.439085648148</v>
      </c>
      <c r="C1920" s="13" t="s">
        <v>10</v>
      </c>
      <c r="D1920" s="13" t="str">
        <f t="shared" si="139"/>
        <v>MATERIALE PROTESICO</v>
      </c>
      <c r="E1920" s="13" t="str">
        <f t="shared" si="140"/>
        <v>STRYKER ITALIA SRL</v>
      </c>
      <c r="F1920" s="13" t="s">
        <v>14</v>
      </c>
      <c r="G1920" s="15">
        <v>5610</v>
      </c>
    </row>
    <row r="1921" spans="1:7" ht="22.5" x14ac:dyDescent="0.25">
      <c r="A1921" s="13">
        <v>14279</v>
      </c>
      <c r="B1921" s="14">
        <v>43445.439085648148</v>
      </c>
      <c r="C1921" s="13" t="s">
        <v>10</v>
      </c>
      <c r="D1921" s="13" t="str">
        <f t="shared" si="139"/>
        <v>MATERIALE PROTESICO</v>
      </c>
      <c r="E1921" s="13" t="str">
        <f t="shared" si="140"/>
        <v>STRYKER ITALIA SRL</v>
      </c>
      <c r="F1921" s="13" t="s">
        <v>14</v>
      </c>
      <c r="G1921" s="15">
        <v>1504.8</v>
      </c>
    </row>
    <row r="1922" spans="1:7" ht="22.5" x14ac:dyDescent="0.25">
      <c r="A1922" s="13">
        <v>14280</v>
      </c>
      <c r="B1922" s="14">
        <v>43445.439085648148</v>
      </c>
      <c r="C1922" s="13" t="s">
        <v>10</v>
      </c>
      <c r="D1922" s="13" t="str">
        <f t="shared" si="139"/>
        <v>MATERIALE PROTESICO</v>
      </c>
      <c r="E1922" s="13" t="str">
        <f t="shared" si="140"/>
        <v>STRYKER ITALIA SRL</v>
      </c>
      <c r="F1922" s="13" t="s">
        <v>14</v>
      </c>
      <c r="G1922" s="15">
        <v>372.36</v>
      </c>
    </row>
    <row r="1923" spans="1:7" ht="22.5" x14ac:dyDescent="0.25">
      <c r="A1923" s="13">
        <v>14281</v>
      </c>
      <c r="B1923" s="14">
        <v>43445.439085648148</v>
      </c>
      <c r="C1923" s="13" t="s">
        <v>10</v>
      </c>
      <c r="D1923" s="13" t="str">
        <f t="shared" si="139"/>
        <v>MATERIALE PROTESICO</v>
      </c>
      <c r="E1923" s="13" t="str">
        <f t="shared" si="140"/>
        <v>STRYKER ITALIA SRL</v>
      </c>
      <c r="F1923" s="13" t="s">
        <v>14</v>
      </c>
      <c r="G1923" s="15">
        <v>1369</v>
      </c>
    </row>
    <row r="1924" spans="1:7" ht="22.5" x14ac:dyDescent="0.25">
      <c r="A1924" s="13">
        <v>14282</v>
      </c>
      <c r="B1924" s="14">
        <v>43445.439085648148</v>
      </c>
      <c r="C1924" s="13" t="s">
        <v>10</v>
      </c>
      <c r="D1924" s="13" t="str">
        <f t="shared" si="139"/>
        <v>MATERIALE PROTESICO</v>
      </c>
      <c r="E1924" s="13" t="str">
        <f t="shared" si="140"/>
        <v>STRYKER ITALIA SRL</v>
      </c>
      <c r="F1924" s="13" t="s">
        <v>14</v>
      </c>
      <c r="G1924" s="15">
        <v>53.94</v>
      </c>
    </row>
    <row r="1925" spans="1:7" ht="22.5" x14ac:dyDescent="0.25">
      <c r="A1925" s="13">
        <v>14283</v>
      </c>
      <c r="B1925" s="14">
        <v>43445.439085648148</v>
      </c>
      <c r="C1925" s="13" t="s">
        <v>10</v>
      </c>
      <c r="D1925" s="13" t="str">
        <f t="shared" si="139"/>
        <v>MATERIALE PROTESICO</v>
      </c>
      <c r="E1925" s="13" t="str">
        <f t="shared" si="140"/>
        <v>STRYKER ITALIA SRL</v>
      </c>
      <c r="F1925" s="13" t="s">
        <v>14</v>
      </c>
      <c r="G1925" s="15">
        <v>1369</v>
      </c>
    </row>
    <row r="1926" spans="1:7" ht="22.5" x14ac:dyDescent="0.25">
      <c r="A1926" s="13">
        <v>14284</v>
      </c>
      <c r="B1926" s="14">
        <v>43445.439085648148</v>
      </c>
      <c r="C1926" s="13" t="s">
        <v>10</v>
      </c>
      <c r="D1926" s="13" t="str">
        <f t="shared" si="139"/>
        <v>MATERIALE PROTESICO</v>
      </c>
      <c r="E1926" s="13" t="str">
        <f t="shared" si="140"/>
        <v>STRYKER ITALIA SRL</v>
      </c>
      <c r="F1926" s="13" t="s">
        <v>14</v>
      </c>
      <c r="G1926" s="15">
        <v>1369</v>
      </c>
    </row>
    <row r="1927" spans="1:7" ht="22.5" x14ac:dyDescent="0.25">
      <c r="A1927" s="13">
        <v>14285</v>
      </c>
      <c r="B1927" s="14">
        <v>43445.439085648148</v>
      </c>
      <c r="C1927" s="13" t="s">
        <v>10</v>
      </c>
      <c r="D1927" s="13" t="str">
        <f t="shared" si="139"/>
        <v>MATERIALE PROTESICO</v>
      </c>
      <c r="E1927" s="13" t="str">
        <f t="shared" si="140"/>
        <v>STRYKER ITALIA SRL</v>
      </c>
      <c r="F1927" s="13" t="s">
        <v>14</v>
      </c>
      <c r="G1927" s="15">
        <v>558.54</v>
      </c>
    </row>
    <row r="1928" spans="1:7" ht="22.5" x14ac:dyDescent="0.25">
      <c r="A1928" s="13">
        <v>14286</v>
      </c>
      <c r="B1928" s="14">
        <v>43445.439085648148</v>
      </c>
      <c r="C1928" s="13" t="s">
        <v>10</v>
      </c>
      <c r="D1928" s="13" t="str">
        <f t="shared" si="139"/>
        <v>MATERIALE PROTESICO</v>
      </c>
      <c r="E1928" s="13" t="str">
        <f t="shared" si="140"/>
        <v>STRYKER ITALIA SRL</v>
      </c>
      <c r="F1928" s="13" t="s">
        <v>14</v>
      </c>
      <c r="G1928" s="15">
        <v>176</v>
      </c>
    </row>
    <row r="1929" spans="1:7" ht="22.5" x14ac:dyDescent="0.25">
      <c r="A1929" s="13">
        <v>14287</v>
      </c>
      <c r="B1929" s="14">
        <v>43445.439085648148</v>
      </c>
      <c r="C1929" s="13" t="s">
        <v>10</v>
      </c>
      <c r="D1929" s="13" t="str">
        <f t="shared" si="139"/>
        <v>MATERIALE PROTESICO</v>
      </c>
      <c r="E1929" s="13" t="str">
        <f t="shared" si="140"/>
        <v>STRYKER ITALIA SRL</v>
      </c>
      <c r="F1929" s="13" t="s">
        <v>14</v>
      </c>
      <c r="G1929" s="15">
        <v>176</v>
      </c>
    </row>
    <row r="1930" spans="1:7" ht="22.5" x14ac:dyDescent="0.25">
      <c r="A1930" s="13">
        <v>14288</v>
      </c>
      <c r="B1930" s="14">
        <v>43445.439097222225</v>
      </c>
      <c r="C1930" s="13" t="s">
        <v>11</v>
      </c>
      <c r="D1930" s="13" t="str">
        <f t="shared" ref="D1930:E1933" si="141">"ADDIZIONALE COMUNALE 730 DIPENDENTI"</f>
        <v>ADDIZIONALE COMUNALE 730 DIPENDENTI</v>
      </c>
      <c r="E1930" s="13" t="str">
        <f t="shared" si="141"/>
        <v>ADDIZIONALE COMUNALE 730 DIPENDENTI</v>
      </c>
      <c r="F1930" s="13" t="s">
        <v>37</v>
      </c>
      <c r="G1930" s="15">
        <v>14.72</v>
      </c>
    </row>
    <row r="1931" spans="1:7" ht="22.5" x14ac:dyDescent="0.25">
      <c r="A1931" s="13">
        <v>14289</v>
      </c>
      <c r="B1931" s="14">
        <v>43445.439097222225</v>
      </c>
      <c r="C1931" s="13" t="s">
        <v>11</v>
      </c>
      <c r="D1931" s="13" t="str">
        <f t="shared" si="141"/>
        <v>ADDIZIONALE COMUNALE 730 DIPENDENTI</v>
      </c>
      <c r="E1931" s="13" t="str">
        <f t="shared" si="141"/>
        <v>ADDIZIONALE COMUNALE 730 DIPENDENTI</v>
      </c>
      <c r="F1931" s="13" t="s">
        <v>37</v>
      </c>
      <c r="G1931" s="15">
        <v>1.24</v>
      </c>
    </row>
    <row r="1932" spans="1:7" ht="22.5" x14ac:dyDescent="0.25">
      <c r="A1932" s="13">
        <v>14290</v>
      </c>
      <c r="B1932" s="14">
        <v>43445.439097222225</v>
      </c>
      <c r="C1932" s="13" t="s">
        <v>11</v>
      </c>
      <c r="D1932" s="13" t="str">
        <f t="shared" si="141"/>
        <v>ADDIZIONALE COMUNALE 730 DIPENDENTI</v>
      </c>
      <c r="E1932" s="13" t="str">
        <f t="shared" si="141"/>
        <v>ADDIZIONALE COMUNALE 730 DIPENDENTI</v>
      </c>
      <c r="F1932" s="13" t="s">
        <v>37</v>
      </c>
      <c r="G1932" s="15">
        <v>721.32</v>
      </c>
    </row>
    <row r="1933" spans="1:7" ht="22.5" x14ac:dyDescent="0.25">
      <c r="A1933" s="13">
        <v>14291</v>
      </c>
      <c r="B1933" s="14">
        <v>43445.439097222225</v>
      </c>
      <c r="C1933" s="13" t="s">
        <v>11</v>
      </c>
      <c r="D1933" s="13" t="str">
        <f t="shared" si="141"/>
        <v>ADDIZIONALE COMUNALE 730 DIPENDENTI</v>
      </c>
      <c r="E1933" s="13" t="str">
        <f t="shared" si="141"/>
        <v>ADDIZIONALE COMUNALE 730 DIPENDENTI</v>
      </c>
      <c r="F1933" s="13" t="s">
        <v>37</v>
      </c>
      <c r="G1933" s="15">
        <v>60.84</v>
      </c>
    </row>
    <row r="1934" spans="1:7" ht="22.5" x14ac:dyDescent="0.25">
      <c r="A1934" s="13">
        <v>14292</v>
      </c>
      <c r="B1934" s="14">
        <v>43445.439097222225</v>
      </c>
      <c r="C1934" s="13" t="s">
        <v>11</v>
      </c>
      <c r="D1934" s="13" t="str">
        <f t="shared" ref="D1934:E1937" si="142">"ADDIZIONALE COMUNALE CO.CO.CO."</f>
        <v>ADDIZIONALE COMUNALE CO.CO.CO.</v>
      </c>
      <c r="E1934" s="13" t="str">
        <f t="shared" si="142"/>
        <v>ADDIZIONALE COMUNALE CO.CO.CO.</v>
      </c>
      <c r="F1934" s="13" t="s">
        <v>37</v>
      </c>
      <c r="G1934" s="15">
        <v>420.55</v>
      </c>
    </row>
    <row r="1935" spans="1:7" ht="22.5" x14ac:dyDescent="0.25">
      <c r="A1935" s="13">
        <v>14293</v>
      </c>
      <c r="B1935" s="14">
        <v>43445.439097222225</v>
      </c>
      <c r="C1935" s="13" t="s">
        <v>11</v>
      </c>
      <c r="D1935" s="13" t="str">
        <f t="shared" si="142"/>
        <v>ADDIZIONALE COMUNALE CO.CO.CO.</v>
      </c>
      <c r="E1935" s="13" t="str">
        <f t="shared" si="142"/>
        <v>ADDIZIONALE COMUNALE CO.CO.CO.</v>
      </c>
      <c r="F1935" s="13" t="s">
        <v>37</v>
      </c>
      <c r="G1935" s="15">
        <v>15.47</v>
      </c>
    </row>
    <row r="1936" spans="1:7" ht="22.5" x14ac:dyDescent="0.25">
      <c r="A1936" s="13">
        <v>14294</v>
      </c>
      <c r="B1936" s="14">
        <v>43445.439097222225</v>
      </c>
      <c r="C1936" s="13" t="s">
        <v>11</v>
      </c>
      <c r="D1936" s="13" t="str">
        <f t="shared" si="142"/>
        <v>ADDIZIONALE COMUNALE CO.CO.CO.</v>
      </c>
      <c r="E1936" s="13" t="str">
        <f t="shared" si="142"/>
        <v>ADDIZIONALE COMUNALE CO.CO.CO.</v>
      </c>
      <c r="F1936" s="13" t="s">
        <v>37</v>
      </c>
      <c r="G1936" s="15">
        <v>355.95</v>
      </c>
    </row>
    <row r="1937" spans="1:7" ht="22.5" x14ac:dyDescent="0.25">
      <c r="A1937" s="13">
        <v>14295</v>
      </c>
      <c r="B1937" s="14">
        <v>43445.439097222225</v>
      </c>
      <c r="C1937" s="13" t="s">
        <v>11</v>
      </c>
      <c r="D1937" s="13" t="str">
        <f t="shared" si="142"/>
        <v>ADDIZIONALE COMUNALE CO.CO.CO.</v>
      </c>
      <c r="E1937" s="13" t="str">
        <f t="shared" si="142"/>
        <v>ADDIZIONALE COMUNALE CO.CO.CO.</v>
      </c>
      <c r="F1937" s="13" t="s">
        <v>37</v>
      </c>
      <c r="G1937" s="15">
        <v>15.46</v>
      </c>
    </row>
    <row r="1938" spans="1:7" ht="22.5" x14ac:dyDescent="0.25">
      <c r="A1938" s="13">
        <v>14296</v>
      </c>
      <c r="B1938" s="14">
        <v>43445.439097222225</v>
      </c>
      <c r="C1938" s="13" t="s">
        <v>11</v>
      </c>
      <c r="D1938" s="13" t="str">
        <f t="shared" ref="D1938:E1941" si="143">"ADDIZIONALE COMUNALE DIPENDENTI"</f>
        <v>ADDIZIONALE COMUNALE DIPENDENTI</v>
      </c>
      <c r="E1938" s="13" t="str">
        <f t="shared" si="143"/>
        <v>ADDIZIONALE COMUNALE DIPENDENTI</v>
      </c>
      <c r="F1938" s="13" t="s">
        <v>37</v>
      </c>
      <c r="G1938" s="15">
        <v>584.74</v>
      </c>
    </row>
    <row r="1939" spans="1:7" ht="22.5" x14ac:dyDescent="0.25">
      <c r="A1939" s="13">
        <v>14297</v>
      </c>
      <c r="B1939" s="14">
        <v>43445.439097222225</v>
      </c>
      <c r="C1939" s="13" t="s">
        <v>11</v>
      </c>
      <c r="D1939" s="13" t="str">
        <f t="shared" si="143"/>
        <v>ADDIZIONALE COMUNALE DIPENDENTI</v>
      </c>
      <c r="E1939" s="13" t="str">
        <f t="shared" si="143"/>
        <v>ADDIZIONALE COMUNALE DIPENDENTI</v>
      </c>
      <c r="F1939" s="13" t="s">
        <v>37</v>
      </c>
      <c r="G1939" s="15">
        <v>589.84</v>
      </c>
    </row>
    <row r="1940" spans="1:7" ht="22.5" x14ac:dyDescent="0.25">
      <c r="A1940" s="13">
        <v>14298</v>
      </c>
      <c r="B1940" s="14">
        <v>43445.439097222225</v>
      </c>
      <c r="C1940" s="13" t="s">
        <v>11</v>
      </c>
      <c r="D1940" s="13" t="str">
        <f t="shared" si="143"/>
        <v>ADDIZIONALE COMUNALE DIPENDENTI</v>
      </c>
      <c r="E1940" s="13" t="str">
        <f t="shared" si="143"/>
        <v>ADDIZIONALE COMUNALE DIPENDENTI</v>
      </c>
      <c r="F1940" s="13" t="s">
        <v>37</v>
      </c>
      <c r="G1940" s="15">
        <v>28652.22</v>
      </c>
    </row>
    <row r="1941" spans="1:7" ht="22.5" x14ac:dyDescent="0.25">
      <c r="A1941" s="13">
        <v>14299</v>
      </c>
      <c r="B1941" s="14">
        <v>43445.439097222225</v>
      </c>
      <c r="C1941" s="13" t="s">
        <v>11</v>
      </c>
      <c r="D1941" s="13" t="str">
        <f t="shared" si="143"/>
        <v>ADDIZIONALE COMUNALE DIPENDENTI</v>
      </c>
      <c r="E1941" s="13" t="str">
        <f t="shared" si="143"/>
        <v>ADDIZIONALE COMUNALE DIPENDENTI</v>
      </c>
      <c r="F1941" s="13" t="s">
        <v>37</v>
      </c>
      <c r="G1941" s="15">
        <v>28902.19</v>
      </c>
    </row>
    <row r="1942" spans="1:7" ht="22.5" x14ac:dyDescent="0.25">
      <c r="A1942" s="13">
        <v>14300</v>
      </c>
      <c r="B1942" s="14">
        <v>43445.439097222225</v>
      </c>
      <c r="C1942" s="13" t="s">
        <v>11</v>
      </c>
      <c r="D1942" s="13" t="str">
        <f t="shared" ref="D1942:E1945" si="144">"ADDIZIONALE REGIONALE 730 DIPENDENTI"</f>
        <v>ADDIZIONALE REGIONALE 730 DIPENDENTI</v>
      </c>
      <c r="E1942" s="13" t="str">
        <f t="shared" si="144"/>
        <v>ADDIZIONALE REGIONALE 730 DIPENDENTI</v>
      </c>
      <c r="F1942" s="13" t="s">
        <v>38</v>
      </c>
      <c r="G1942" s="15">
        <v>10.3</v>
      </c>
    </row>
    <row r="1943" spans="1:7" ht="22.5" x14ac:dyDescent="0.25">
      <c r="A1943" s="13">
        <v>14301</v>
      </c>
      <c r="B1943" s="14">
        <v>43445.439097222225</v>
      </c>
      <c r="C1943" s="13" t="s">
        <v>11</v>
      </c>
      <c r="D1943" s="13" t="str">
        <f t="shared" si="144"/>
        <v>ADDIZIONALE REGIONALE 730 DIPENDENTI</v>
      </c>
      <c r="E1943" s="13" t="str">
        <f t="shared" si="144"/>
        <v>ADDIZIONALE REGIONALE 730 DIPENDENTI</v>
      </c>
      <c r="F1943" s="13" t="s">
        <v>38</v>
      </c>
      <c r="G1943" s="15">
        <v>3.39</v>
      </c>
    </row>
    <row r="1944" spans="1:7" ht="22.5" x14ac:dyDescent="0.25">
      <c r="A1944" s="13">
        <v>14302</v>
      </c>
      <c r="B1944" s="14">
        <v>43445.439097222225</v>
      </c>
      <c r="C1944" s="13" t="s">
        <v>11</v>
      </c>
      <c r="D1944" s="13" t="str">
        <f t="shared" si="144"/>
        <v>ADDIZIONALE REGIONALE 730 DIPENDENTI</v>
      </c>
      <c r="E1944" s="13" t="str">
        <f t="shared" si="144"/>
        <v>ADDIZIONALE REGIONALE 730 DIPENDENTI</v>
      </c>
      <c r="F1944" s="13" t="s">
        <v>38</v>
      </c>
      <c r="G1944" s="15">
        <v>504.51</v>
      </c>
    </row>
    <row r="1945" spans="1:7" ht="22.5" x14ac:dyDescent="0.25">
      <c r="A1945" s="13">
        <v>14303</v>
      </c>
      <c r="B1945" s="14">
        <v>43445.439097222225</v>
      </c>
      <c r="C1945" s="13" t="s">
        <v>11</v>
      </c>
      <c r="D1945" s="13" t="str">
        <f t="shared" si="144"/>
        <v>ADDIZIONALE REGIONALE 730 DIPENDENTI</v>
      </c>
      <c r="E1945" s="13" t="str">
        <f t="shared" si="144"/>
        <v>ADDIZIONALE REGIONALE 730 DIPENDENTI</v>
      </c>
      <c r="F1945" s="13" t="s">
        <v>38</v>
      </c>
      <c r="G1945" s="15">
        <v>165.91</v>
      </c>
    </row>
    <row r="1946" spans="1:7" ht="22.5" x14ac:dyDescent="0.25">
      <c r="A1946" s="13">
        <v>14304</v>
      </c>
      <c r="B1946" s="14">
        <v>43445.439097222225</v>
      </c>
      <c r="C1946" s="13" t="s">
        <v>11</v>
      </c>
      <c r="D1946" s="13" t="str">
        <f t="shared" ref="D1946:E1949" si="145">"ADDIZIONALE REGIONALE CO.CO.CO."</f>
        <v>ADDIZIONALE REGIONALE CO.CO.CO.</v>
      </c>
      <c r="E1946" s="13" t="str">
        <f t="shared" si="145"/>
        <v>ADDIZIONALE REGIONALE CO.CO.CO.</v>
      </c>
      <c r="F1946" s="13" t="s">
        <v>38</v>
      </c>
      <c r="G1946" s="15">
        <v>848.58</v>
      </c>
    </row>
    <row r="1947" spans="1:7" ht="22.5" x14ac:dyDescent="0.25">
      <c r="A1947" s="13">
        <v>14305</v>
      </c>
      <c r="B1947" s="14">
        <v>43445.439097222225</v>
      </c>
      <c r="C1947" s="13" t="s">
        <v>11</v>
      </c>
      <c r="D1947" s="13" t="str">
        <f t="shared" si="145"/>
        <v>ADDIZIONALE REGIONALE CO.CO.CO.</v>
      </c>
      <c r="E1947" s="13" t="str">
        <f t="shared" si="145"/>
        <v>ADDIZIONALE REGIONALE CO.CO.CO.</v>
      </c>
      <c r="F1947" s="13" t="s">
        <v>38</v>
      </c>
      <c r="G1947" s="15">
        <v>28.72</v>
      </c>
    </row>
    <row r="1948" spans="1:7" ht="22.5" x14ac:dyDescent="0.25">
      <c r="A1948" s="13">
        <v>14306</v>
      </c>
      <c r="B1948" s="14">
        <v>43445.439097222225</v>
      </c>
      <c r="C1948" s="13" t="s">
        <v>11</v>
      </c>
      <c r="D1948" s="13" t="str">
        <f t="shared" si="145"/>
        <v>ADDIZIONALE REGIONALE CO.CO.CO.</v>
      </c>
      <c r="E1948" s="13" t="str">
        <f t="shared" si="145"/>
        <v>ADDIZIONALE REGIONALE CO.CO.CO.</v>
      </c>
      <c r="F1948" s="13" t="s">
        <v>38</v>
      </c>
      <c r="G1948" s="15">
        <v>892</v>
      </c>
    </row>
    <row r="1949" spans="1:7" ht="22.5" x14ac:dyDescent="0.25">
      <c r="A1949" s="13">
        <v>14307</v>
      </c>
      <c r="B1949" s="14">
        <v>43445.439097222225</v>
      </c>
      <c r="C1949" s="13" t="s">
        <v>11</v>
      </c>
      <c r="D1949" s="13" t="str">
        <f t="shared" si="145"/>
        <v>ADDIZIONALE REGIONALE CO.CO.CO.</v>
      </c>
      <c r="E1949" s="13" t="str">
        <f t="shared" si="145"/>
        <v>ADDIZIONALE REGIONALE CO.CO.CO.</v>
      </c>
      <c r="F1949" s="13" t="s">
        <v>38</v>
      </c>
      <c r="G1949" s="15">
        <v>28.72</v>
      </c>
    </row>
    <row r="1950" spans="1:7" ht="22.5" x14ac:dyDescent="0.25">
      <c r="A1950" s="13">
        <v>14308</v>
      </c>
      <c r="B1950" s="14">
        <v>43445.439097222225</v>
      </c>
      <c r="C1950" s="13" t="s">
        <v>11</v>
      </c>
      <c r="D1950" s="13" t="str">
        <f t="shared" ref="D1950:E1953" si="146">"ADDIZIONALE REGIONALE DIPENDENTI"</f>
        <v>ADDIZIONALE REGIONALE DIPENDENTI</v>
      </c>
      <c r="E1950" s="13" t="str">
        <f t="shared" si="146"/>
        <v>ADDIZIONALE REGIONALE DIPENDENTI</v>
      </c>
      <c r="F1950" s="13" t="s">
        <v>38</v>
      </c>
      <c r="G1950" s="15">
        <v>1126.3499999999999</v>
      </c>
    </row>
    <row r="1951" spans="1:7" ht="22.5" x14ac:dyDescent="0.25">
      <c r="A1951" s="13">
        <v>14309</v>
      </c>
      <c r="B1951" s="14">
        <v>43445.439097222225</v>
      </c>
      <c r="C1951" s="13" t="s">
        <v>11</v>
      </c>
      <c r="D1951" s="13" t="str">
        <f t="shared" si="146"/>
        <v>ADDIZIONALE REGIONALE DIPENDENTI</v>
      </c>
      <c r="E1951" s="13" t="str">
        <f t="shared" si="146"/>
        <v>ADDIZIONALE REGIONALE DIPENDENTI</v>
      </c>
      <c r="F1951" s="13" t="s">
        <v>38</v>
      </c>
      <c r="G1951" s="15">
        <v>1160.6400000000001</v>
      </c>
    </row>
    <row r="1952" spans="1:7" ht="22.5" x14ac:dyDescent="0.25">
      <c r="A1952" s="13">
        <v>14310</v>
      </c>
      <c r="B1952" s="14">
        <v>43445.439097222225</v>
      </c>
      <c r="C1952" s="13" t="s">
        <v>11</v>
      </c>
      <c r="D1952" s="13" t="str">
        <f t="shared" si="146"/>
        <v>ADDIZIONALE REGIONALE DIPENDENTI</v>
      </c>
      <c r="E1952" s="13" t="str">
        <f t="shared" si="146"/>
        <v>ADDIZIONALE REGIONALE DIPENDENTI</v>
      </c>
      <c r="F1952" s="13" t="s">
        <v>38</v>
      </c>
      <c r="G1952" s="15">
        <v>55191.040000000001</v>
      </c>
    </row>
    <row r="1953" spans="1:7" ht="22.5" x14ac:dyDescent="0.25">
      <c r="A1953" s="13">
        <v>14311</v>
      </c>
      <c r="B1953" s="14">
        <v>43445.439097222225</v>
      </c>
      <c r="C1953" s="13" t="s">
        <v>11</v>
      </c>
      <c r="D1953" s="13" t="str">
        <f t="shared" si="146"/>
        <v>ADDIZIONALE REGIONALE DIPENDENTI</v>
      </c>
      <c r="E1953" s="13" t="str">
        <f t="shared" si="146"/>
        <v>ADDIZIONALE REGIONALE DIPENDENTI</v>
      </c>
      <c r="F1953" s="13" t="s">
        <v>38</v>
      </c>
      <c r="G1953" s="15">
        <v>56871.14</v>
      </c>
    </row>
    <row r="1954" spans="1:7" ht="22.5" x14ac:dyDescent="0.25">
      <c r="A1954" s="13">
        <v>14312</v>
      </c>
      <c r="B1954" s="14">
        <v>43445.439097222225</v>
      </c>
      <c r="C1954" s="13" t="s">
        <v>10</v>
      </c>
      <c r="D1954" s="13" t="str">
        <f>"MATERIALE PROTESICO"</f>
        <v>MATERIALE PROTESICO</v>
      </c>
      <c r="E1954" s="13" t="str">
        <f>"SMITH &amp; NEPHEW SRL Societa Unipersonale"</f>
        <v>SMITH &amp; NEPHEW SRL Societa Unipersonale</v>
      </c>
      <c r="F1954" s="13" t="s">
        <v>14</v>
      </c>
      <c r="G1954" s="15">
        <v>250</v>
      </c>
    </row>
    <row r="1955" spans="1:7" ht="22.5" x14ac:dyDescent="0.25">
      <c r="A1955" s="13">
        <v>14313</v>
      </c>
      <c r="B1955" s="14">
        <v>43445.439097222225</v>
      </c>
      <c r="C1955" s="13" t="s">
        <v>10</v>
      </c>
      <c r="D1955" s="13" t="str">
        <f>"PRODOTTI FARMACEUTICI CON AIC"</f>
        <v>PRODOTTI FARMACEUTICI CON AIC</v>
      </c>
      <c r="E1955" s="13" t="str">
        <f>"TEVA ITALIA SRL a Socio Unico"</f>
        <v>TEVA ITALIA SRL a Socio Unico</v>
      </c>
      <c r="F1955" s="13" t="s">
        <v>14</v>
      </c>
      <c r="G1955" s="15">
        <v>3340.14</v>
      </c>
    </row>
    <row r="1956" spans="1:7" ht="22.5" x14ac:dyDescent="0.25">
      <c r="A1956" s="13">
        <v>14314</v>
      </c>
      <c r="B1956" s="14">
        <v>43445.439097222225</v>
      </c>
      <c r="C1956" s="13" t="s">
        <v>10</v>
      </c>
      <c r="D1956" s="13" t="str">
        <f>"PRODOTTI FARMACEUTICI CON AIC"</f>
        <v>PRODOTTI FARMACEUTICI CON AIC</v>
      </c>
      <c r="E1956" s="13" t="str">
        <f>"TEVA ITALIA SRL a Socio Unico"</f>
        <v>TEVA ITALIA SRL a Socio Unico</v>
      </c>
      <c r="F1956" s="13" t="s">
        <v>14</v>
      </c>
      <c r="G1956" s="15">
        <v>32.049999999999997</v>
      </c>
    </row>
    <row r="1957" spans="1:7" ht="33.75" x14ac:dyDescent="0.25">
      <c r="A1957" s="13">
        <v>14315</v>
      </c>
      <c r="B1957" s="14">
        <v>43445.439108796294</v>
      </c>
      <c r="C1957" s="13" t="s">
        <v>11</v>
      </c>
      <c r="D1957" s="13" t="str">
        <f>"CONTRIBUTI OBBLIGATORI PER IL PERSONALE A TEMPO DETERMINATO"</f>
        <v>CONTRIBUTI OBBLIGATORI PER IL PERSONALE A TEMPO DETERMINATO</v>
      </c>
      <c r="E1957" s="13" t="str">
        <f>"ISTITUTO NAZIONALE PREVIDENZA SOCIALE - INPS"</f>
        <v>ISTITUTO NAZIONALE PREVIDENZA SOCIALE - INPS</v>
      </c>
      <c r="F1957" s="13" t="s">
        <v>18</v>
      </c>
      <c r="G1957" s="15">
        <v>4877.4399999999996</v>
      </c>
    </row>
    <row r="1958" spans="1:7" ht="33.75" x14ac:dyDescent="0.25">
      <c r="A1958" s="13">
        <v>14316</v>
      </c>
      <c r="B1958" s="14">
        <v>43445.439108796294</v>
      </c>
      <c r="C1958" s="13" t="s">
        <v>11</v>
      </c>
      <c r="D1958" s="13" t="str">
        <f>"CONTRIBUTI OBBLIGATORI PER IL PERSONALE A TEMPO DETERMINATO"</f>
        <v>CONTRIBUTI OBBLIGATORI PER IL PERSONALE A TEMPO DETERMINATO</v>
      </c>
      <c r="E1958" s="13" t="str">
        <f>"ISTITUTO NAZIONALE PREVIDENZA SOCIALE - INPS"</f>
        <v>ISTITUTO NAZIONALE PREVIDENZA SOCIALE - INPS</v>
      </c>
      <c r="F1958" s="13" t="s">
        <v>18</v>
      </c>
      <c r="G1958" s="15">
        <v>569.51</v>
      </c>
    </row>
    <row r="1959" spans="1:7" ht="33.75" x14ac:dyDescent="0.25">
      <c r="A1959" s="13">
        <v>14317</v>
      </c>
      <c r="B1959" s="14">
        <v>43445.439108796294</v>
      </c>
      <c r="C1959" s="13" t="s">
        <v>11</v>
      </c>
      <c r="D1959" s="13" t="str">
        <f>"CONTRIBUTI OBBLIGATORI PER IL PERSONALE A TEMPO DETERMINATO"</f>
        <v>CONTRIBUTI OBBLIGATORI PER IL PERSONALE A TEMPO DETERMINATO</v>
      </c>
      <c r="E1959" s="13" t="str">
        <f>"ISTITUTO NAZIONALE PREVIDENZA SOCIALE - INPS"</f>
        <v>ISTITUTO NAZIONALE PREVIDENZA SOCIALE - INPS</v>
      </c>
      <c r="F1959" s="13" t="s">
        <v>18</v>
      </c>
      <c r="G1959" s="15">
        <v>4149.78</v>
      </c>
    </row>
    <row r="1960" spans="1:7" ht="33.75" x14ac:dyDescent="0.25">
      <c r="A1960" s="13">
        <v>14318</v>
      </c>
      <c r="B1960" s="14">
        <v>43445.439108796294</v>
      </c>
      <c r="C1960" s="13" t="s">
        <v>11</v>
      </c>
      <c r="D1960" s="13" t="str">
        <f>"CONTRIBUTI OBBLIGATORI PER IL PERSONALE A TEMPO DETERMINATO"</f>
        <v>CONTRIBUTI OBBLIGATORI PER IL PERSONALE A TEMPO DETERMINATO</v>
      </c>
      <c r="E1960" s="13" t="str">
        <f>"ISTITUTO NAZIONALE PREVIDENZA SOCIALE - INPS"</f>
        <v>ISTITUTO NAZIONALE PREVIDENZA SOCIALE - INPS</v>
      </c>
      <c r="F1960" s="13" t="s">
        <v>18</v>
      </c>
      <c r="G1960" s="15">
        <v>569.51</v>
      </c>
    </row>
    <row r="1961" spans="1:7" ht="22.5" x14ac:dyDescent="0.25">
      <c r="A1961" s="13">
        <v>14319</v>
      </c>
      <c r="B1961" s="14">
        <v>43445.439108796294</v>
      </c>
      <c r="C1961" s="13" t="s">
        <v>11</v>
      </c>
      <c r="D1961" s="13" t="str">
        <f>"IRAP"</f>
        <v>IRAP</v>
      </c>
      <c r="E1961" s="13" t="str">
        <f>"REGIONE LOMBARDIA"</f>
        <v>REGIONE LOMBARDIA</v>
      </c>
      <c r="F1961" s="13" t="s">
        <v>18</v>
      </c>
      <c r="G1961" s="15">
        <v>346268.98</v>
      </c>
    </row>
    <row r="1962" spans="1:7" ht="22.5" x14ac:dyDescent="0.25">
      <c r="A1962" s="13">
        <v>14320</v>
      </c>
      <c r="B1962" s="14">
        <v>43445.439108796294</v>
      </c>
      <c r="C1962" s="13" t="s">
        <v>11</v>
      </c>
      <c r="D1962" s="13" t="str">
        <f>"IRAP"</f>
        <v>IRAP</v>
      </c>
      <c r="E1962" s="13" t="str">
        <f>"REGIONE LOMBARDIA"</f>
        <v>REGIONE LOMBARDIA</v>
      </c>
      <c r="F1962" s="13" t="s">
        <v>18</v>
      </c>
      <c r="G1962" s="15">
        <v>318185.23</v>
      </c>
    </row>
    <row r="1963" spans="1:7" ht="33.75" x14ac:dyDescent="0.25">
      <c r="A1963" s="13">
        <v>14321</v>
      </c>
      <c r="B1963" s="14">
        <v>43445.439108796294</v>
      </c>
      <c r="C1963" s="13" t="s">
        <v>11</v>
      </c>
      <c r="D1963" s="13" t="str">
        <f>"RITENUTE ERARIALI A CARICO DEL PERSONALE A TEMPO DETERMINATO"</f>
        <v>RITENUTE ERARIALI A CARICO DEL PERSONALE A TEMPO DETERMINATO</v>
      </c>
      <c r="E1963" s="13" t="str">
        <f>"IRPEF 730 DIPENDENTI"</f>
        <v>IRPEF 730 DIPENDENTI</v>
      </c>
      <c r="F1963" s="13" t="s">
        <v>18</v>
      </c>
      <c r="G1963" s="15">
        <v>260.33999999999997</v>
      </c>
    </row>
    <row r="1964" spans="1:7" ht="33.75" x14ac:dyDescent="0.25">
      <c r="A1964" s="13">
        <v>14322</v>
      </c>
      <c r="B1964" s="14">
        <v>43445.439108796294</v>
      </c>
      <c r="C1964" s="13" t="s">
        <v>11</v>
      </c>
      <c r="D1964" s="13" t="str">
        <f>"RITENUTE ERARIALI A CARICO DEL PERSONALE A TEMPO DETERMINATO"</f>
        <v>RITENUTE ERARIALI A CARICO DEL PERSONALE A TEMPO DETERMINATO</v>
      </c>
      <c r="E1964" s="13" t="str">
        <f>"IRPEF 730 DIPENDENTI"</f>
        <v>IRPEF 730 DIPENDENTI</v>
      </c>
      <c r="F1964" s="13" t="s">
        <v>18</v>
      </c>
      <c r="G1964" s="15">
        <v>1098.6300000000001</v>
      </c>
    </row>
    <row r="1965" spans="1:7" ht="33.75" x14ac:dyDescent="0.25">
      <c r="A1965" s="13">
        <v>14323</v>
      </c>
      <c r="B1965" s="14">
        <v>43445.439108796294</v>
      </c>
      <c r="C1965" s="13" t="s">
        <v>11</v>
      </c>
      <c r="D1965" s="13" t="str">
        <f>"RITENUTE ERARIALI A CARICO DEL PERSONALE A TEMPO DETERMINATO"</f>
        <v>RITENUTE ERARIALI A CARICO DEL PERSONALE A TEMPO DETERMINATO</v>
      </c>
      <c r="E1965" s="13" t="str">
        <f>"IRPEF DIPENDENTI"</f>
        <v>IRPEF DIPENDENTI</v>
      </c>
      <c r="F1965" s="13" t="s">
        <v>18</v>
      </c>
      <c r="G1965" s="15">
        <v>18718.8</v>
      </c>
    </row>
    <row r="1966" spans="1:7" ht="33.75" x14ac:dyDescent="0.25">
      <c r="A1966" s="13">
        <v>14324</v>
      </c>
      <c r="B1966" s="14">
        <v>43445.439108796294</v>
      </c>
      <c r="C1966" s="13" t="s">
        <v>11</v>
      </c>
      <c r="D1966" s="13" t="str">
        <f>"RITENUTE ERARIALI A CARICO DEL PERSONALE A TEMPO DETERMINATO"</f>
        <v>RITENUTE ERARIALI A CARICO DEL PERSONALE A TEMPO DETERMINATO</v>
      </c>
      <c r="E1966" s="13" t="str">
        <f>"IRPEF DIPENDENTI"</f>
        <v>IRPEF DIPENDENTI</v>
      </c>
      <c r="F1966" s="13" t="s">
        <v>18</v>
      </c>
      <c r="G1966" s="15">
        <v>16881.8</v>
      </c>
    </row>
    <row r="1967" spans="1:7" ht="33.75" x14ac:dyDescent="0.25">
      <c r="A1967" s="13">
        <v>14325</v>
      </c>
      <c r="B1967" s="14">
        <v>43445.439108796294</v>
      </c>
      <c r="C1967" s="13" t="s">
        <v>11</v>
      </c>
      <c r="D1967" s="13" t="str">
        <f>"RITENUTE ERARIALI A CARICO DEL PERSONALE A TEMPO INDETERMINATO"</f>
        <v>RITENUTE ERARIALI A CARICO DEL PERSONALE A TEMPO INDETERMINATO</v>
      </c>
      <c r="E1967" s="13" t="str">
        <f>"IRPEF 730 DIPENDENTI"</f>
        <v>IRPEF 730 DIPENDENTI</v>
      </c>
      <c r="F1967" s="13" t="s">
        <v>18</v>
      </c>
      <c r="G1967" s="15">
        <v>12756.58</v>
      </c>
    </row>
    <row r="1968" spans="1:7" ht="33.75" x14ac:dyDescent="0.25">
      <c r="A1968" s="13">
        <v>14326</v>
      </c>
      <c r="B1968" s="14">
        <v>43445.439108796294</v>
      </c>
      <c r="C1968" s="13" t="s">
        <v>11</v>
      </c>
      <c r="D1968" s="13" t="str">
        <f>"RITENUTE ERARIALI A CARICO DEL PERSONALE A TEMPO INDETERMINATO"</f>
        <v>RITENUTE ERARIALI A CARICO DEL PERSONALE A TEMPO INDETERMINATO</v>
      </c>
      <c r="E1968" s="13" t="str">
        <f>"IRPEF 730 DIPENDENTI"</f>
        <v>IRPEF 730 DIPENDENTI</v>
      </c>
      <c r="F1968" s="13" t="s">
        <v>18</v>
      </c>
      <c r="G1968" s="15">
        <v>53833.07</v>
      </c>
    </row>
    <row r="1969" spans="1:7" ht="33.75" x14ac:dyDescent="0.25">
      <c r="A1969" s="13">
        <v>14327</v>
      </c>
      <c r="B1969" s="14">
        <v>43445.439108796294</v>
      </c>
      <c r="C1969" s="13" t="s">
        <v>11</v>
      </c>
      <c r="D1969" s="13" t="str">
        <f>"RITENUTE ERARIALI A CARICO DEL PERSONALE A TEMPO INDETERMINATO"</f>
        <v>RITENUTE ERARIALI A CARICO DEL PERSONALE A TEMPO INDETERMINATO</v>
      </c>
      <c r="E1969" s="13" t="str">
        <f>"IRPEF DIPENDENTI"</f>
        <v>IRPEF DIPENDENTI</v>
      </c>
      <c r="F1969" s="13" t="s">
        <v>18</v>
      </c>
      <c r="G1969" s="15">
        <v>917221.29</v>
      </c>
    </row>
    <row r="1970" spans="1:7" ht="33.75" x14ac:dyDescent="0.25">
      <c r="A1970" s="13">
        <v>14328</v>
      </c>
      <c r="B1970" s="14">
        <v>43445.439108796294</v>
      </c>
      <c r="C1970" s="13" t="s">
        <v>11</v>
      </c>
      <c r="D1970" s="13" t="str">
        <f>"RITENUTE ERARIALI A CARICO DEL PERSONALE A TEMPO INDETERMINATO"</f>
        <v>RITENUTE ERARIALI A CARICO DEL PERSONALE A TEMPO INDETERMINATO</v>
      </c>
      <c r="E1970" s="13" t="str">
        <f>"IRPEF DIPENDENTI"</f>
        <v>IRPEF DIPENDENTI</v>
      </c>
      <c r="F1970" s="13" t="s">
        <v>18</v>
      </c>
      <c r="G1970" s="15">
        <v>827208.39</v>
      </c>
    </row>
    <row r="1971" spans="1:7" ht="33.75" x14ac:dyDescent="0.25">
      <c r="A1971" s="13">
        <v>14329</v>
      </c>
      <c r="B1971" s="14">
        <v>43445.439108796294</v>
      </c>
      <c r="C1971" s="13" t="s">
        <v>11</v>
      </c>
      <c r="D1971" s="13" t="str">
        <f t="shared" ref="D1971:D1977" si="147">"RITENUTE ERARIALI SU INDENNITÀ A ORGANI ISTITUZIONALI E ALTRI COMPENSI"</f>
        <v>RITENUTE ERARIALI SU INDENNITÀ A ORGANI ISTITUZIONALI E ALTRI COMPENSI</v>
      </c>
      <c r="E1971" s="13" t="str">
        <f>"IRPEF 730 CO.CO.CO."</f>
        <v>IRPEF 730 CO.CO.CO.</v>
      </c>
      <c r="F1971" s="13" t="s">
        <v>18</v>
      </c>
      <c r="G1971" s="15">
        <v>143</v>
      </c>
    </row>
    <row r="1972" spans="1:7" ht="33.75" x14ac:dyDescent="0.25">
      <c r="A1972" s="13">
        <v>14330</v>
      </c>
      <c r="B1972" s="14">
        <v>43445.439108796294</v>
      </c>
      <c r="C1972" s="13" t="s">
        <v>11</v>
      </c>
      <c r="D1972" s="13" t="str">
        <f t="shared" si="147"/>
        <v>RITENUTE ERARIALI SU INDENNITÀ A ORGANI ISTITUZIONALI E ALTRI COMPENSI</v>
      </c>
      <c r="E1972" s="13" t="str">
        <f>"IRPEF AUTONOMI E OCCASIONALI"</f>
        <v>IRPEF AUTONOMI E OCCASIONALI</v>
      </c>
      <c r="F1972" s="13" t="s">
        <v>18</v>
      </c>
      <c r="G1972" s="15">
        <v>4642.2</v>
      </c>
    </row>
    <row r="1973" spans="1:7" ht="33.75" x14ac:dyDescent="0.25">
      <c r="A1973" s="13">
        <v>14331</v>
      </c>
      <c r="B1973" s="14">
        <v>43445.439108796294</v>
      </c>
      <c r="C1973" s="13" t="s">
        <v>11</v>
      </c>
      <c r="D1973" s="13" t="str">
        <f t="shared" si="147"/>
        <v>RITENUTE ERARIALI SU INDENNITÀ A ORGANI ISTITUZIONALI E ALTRI COMPENSI</v>
      </c>
      <c r="E1973" s="13" t="str">
        <f>"IRPEF AUTONOMI E OCCASIONALI"</f>
        <v>IRPEF AUTONOMI E OCCASIONALI</v>
      </c>
      <c r="F1973" s="13" t="s">
        <v>18</v>
      </c>
      <c r="G1973" s="15">
        <v>11003.64</v>
      </c>
    </row>
    <row r="1974" spans="1:7" ht="33.75" x14ac:dyDescent="0.25">
      <c r="A1974" s="13">
        <v>14332</v>
      </c>
      <c r="B1974" s="14">
        <v>43445.439108796294</v>
      </c>
      <c r="C1974" s="13" t="s">
        <v>11</v>
      </c>
      <c r="D1974" s="13" t="str">
        <f t="shared" si="147"/>
        <v>RITENUTE ERARIALI SU INDENNITÀ A ORGANI ISTITUZIONALI E ALTRI COMPENSI</v>
      </c>
      <c r="E1974" s="13" t="str">
        <f>"IRPEF CO.CO.CO."</f>
        <v>IRPEF CO.CO.CO.</v>
      </c>
      <c r="F1974" s="13" t="s">
        <v>18</v>
      </c>
      <c r="G1974" s="15">
        <v>16766.59</v>
      </c>
    </row>
    <row r="1975" spans="1:7" ht="33.75" x14ac:dyDescent="0.25">
      <c r="A1975" s="13">
        <v>14333</v>
      </c>
      <c r="B1975" s="14">
        <v>43445.439108796294</v>
      </c>
      <c r="C1975" s="13" t="s">
        <v>11</v>
      </c>
      <c r="D1975" s="13" t="str">
        <f t="shared" si="147"/>
        <v>RITENUTE ERARIALI SU INDENNITÀ A ORGANI ISTITUZIONALI E ALTRI COMPENSI</v>
      </c>
      <c r="E1975" s="13" t="str">
        <f>"IRPEF CO.CO.CO."</f>
        <v>IRPEF CO.CO.CO.</v>
      </c>
      <c r="F1975" s="13" t="s">
        <v>18</v>
      </c>
      <c r="G1975" s="15">
        <v>307.48</v>
      </c>
    </row>
    <row r="1976" spans="1:7" ht="33.75" x14ac:dyDescent="0.25">
      <c r="A1976" s="13">
        <v>14334</v>
      </c>
      <c r="B1976" s="14">
        <v>43445.439108796294</v>
      </c>
      <c r="C1976" s="13" t="s">
        <v>11</v>
      </c>
      <c r="D1976" s="13" t="str">
        <f t="shared" si="147"/>
        <v>RITENUTE ERARIALI SU INDENNITÀ A ORGANI ISTITUZIONALI E ALTRI COMPENSI</v>
      </c>
      <c r="E1976" s="13" t="str">
        <f>"IRPEF CO.CO.CO."</f>
        <v>IRPEF CO.CO.CO.</v>
      </c>
      <c r="F1976" s="13" t="s">
        <v>18</v>
      </c>
      <c r="G1976" s="15">
        <v>20479.41</v>
      </c>
    </row>
    <row r="1977" spans="1:7" ht="33.75" x14ac:dyDescent="0.25">
      <c r="A1977" s="13">
        <v>14335</v>
      </c>
      <c r="B1977" s="14">
        <v>43445.439108796294</v>
      </c>
      <c r="C1977" s="13" t="s">
        <v>11</v>
      </c>
      <c r="D1977" s="13" t="str">
        <f t="shared" si="147"/>
        <v>RITENUTE ERARIALI SU INDENNITÀ A ORGANI ISTITUZIONALI E ALTRI COMPENSI</v>
      </c>
      <c r="E1977" s="13" t="str">
        <f>"IRPEF CO.CO.CO."</f>
        <v>IRPEF CO.CO.CO.</v>
      </c>
      <c r="F1977" s="13" t="s">
        <v>18</v>
      </c>
      <c r="G1977" s="15">
        <v>378.04</v>
      </c>
    </row>
    <row r="1978" spans="1:7" ht="33.75" x14ac:dyDescent="0.25">
      <c r="A1978" s="13">
        <v>14336</v>
      </c>
      <c r="B1978" s="14">
        <v>43445.439108796294</v>
      </c>
      <c r="C1978" s="13" t="s">
        <v>11</v>
      </c>
      <c r="D1978" s="13" t="str">
        <f>"RITENUTE PREVIDENZIALI E ASSISTENZIALI AL PERSONALE A TEMPO DETERMINATO"</f>
        <v>RITENUTE PREVIDENZIALI E ASSISTENZIALI AL PERSONALE A TEMPO DETERMINATO</v>
      </c>
      <c r="E1978" s="13" t="str">
        <f>"ISTITUTO NAZIONALE PREVIDENZA SOCIALE - INPS"</f>
        <v>ISTITUTO NAZIONALE PREVIDENZA SOCIALE - INPS</v>
      </c>
      <c r="F1978" s="13" t="s">
        <v>18</v>
      </c>
      <c r="G1978" s="15">
        <v>284.75</v>
      </c>
    </row>
    <row r="1979" spans="1:7" ht="33.75" x14ac:dyDescent="0.25">
      <c r="A1979" s="13">
        <v>14337</v>
      </c>
      <c r="B1979" s="14">
        <v>43445.439108796294</v>
      </c>
      <c r="C1979" s="13" t="s">
        <v>11</v>
      </c>
      <c r="D1979" s="13" t="str">
        <f>"RITENUTE PREVIDENZIALI E ASSISTENZIALI AL PERSONALE A TEMPO DETERMINATO"</f>
        <v>RITENUTE PREVIDENZIALI E ASSISTENZIALI AL PERSONALE A TEMPO DETERMINATO</v>
      </c>
      <c r="E1979" s="13" t="str">
        <f>"ISTITUTO NAZIONALE PREVIDENZA SOCIALE - INPS"</f>
        <v>ISTITUTO NAZIONALE PREVIDENZA SOCIALE - INPS</v>
      </c>
      <c r="F1979" s="13" t="s">
        <v>18</v>
      </c>
      <c r="G1979" s="15">
        <v>284.75</v>
      </c>
    </row>
    <row r="1980" spans="1:7" ht="22.5" x14ac:dyDescent="0.25">
      <c r="A1980" s="13">
        <v>14338</v>
      </c>
      <c r="B1980" s="14">
        <v>43445.660868055558</v>
      </c>
      <c r="C1980" s="13" t="s">
        <v>10</v>
      </c>
      <c r="D1980" s="13" t="str">
        <f>"ALTRI SERVIZI"</f>
        <v>ALTRI SERVIZI</v>
      </c>
      <c r="E1980" s="13" t="str">
        <f>"CONSIP SPA"</f>
        <v>CONSIP SPA</v>
      </c>
      <c r="F1980" s="13" t="str">
        <f>"ACQ.SERV.NON SAN. DA SOPRAVVENIENZE"</f>
        <v>ACQ.SERV.NON SAN. DA SOPRAVVENIENZE</v>
      </c>
      <c r="G1980" s="15">
        <v>4627.75</v>
      </c>
    </row>
    <row r="1981" spans="1:7" ht="22.5" x14ac:dyDescent="0.25">
      <c r="A1981" s="13">
        <v>14339</v>
      </c>
      <c r="B1981" s="14">
        <v>43445.660879629628</v>
      </c>
      <c r="C1981" s="13" t="s">
        <v>10</v>
      </c>
      <c r="D1981" s="13" t="str">
        <f>"DISPOSITIVI MEDICI"</f>
        <v>DISPOSITIVI MEDICI</v>
      </c>
      <c r="E1981" s="13" t="str">
        <f>"EDWARDS LIFESCIENCES ITALIA SPA"</f>
        <v>EDWARDS LIFESCIENCES ITALIA SPA</v>
      </c>
      <c r="F1981" s="13" t="s">
        <v>14</v>
      </c>
      <c r="G1981" s="15">
        <v>464</v>
      </c>
    </row>
    <row r="1982" spans="1:7" ht="22.5" x14ac:dyDescent="0.25">
      <c r="A1982" s="13">
        <v>14340</v>
      </c>
      <c r="B1982" s="14">
        <v>43445.660879629628</v>
      </c>
      <c r="C1982" s="13" t="s">
        <v>11</v>
      </c>
      <c r="D1982" s="13" t="str">
        <f>"IRPEF AUTONOMI E OCCASIONALI"</f>
        <v>IRPEF AUTONOMI E OCCASIONALI</v>
      </c>
      <c r="E1982" s="13" t="str">
        <f>"AURELIO ISACCHI"</f>
        <v>AURELIO ISACCHI</v>
      </c>
      <c r="F1982" s="13" t="str">
        <f>"DIFFERENZA PER ERRATO CALCOLO RITENUTA"</f>
        <v>DIFFERENZA PER ERRATO CALCOLO RITENUTA</v>
      </c>
      <c r="G1982" s="15">
        <v>11.04</v>
      </c>
    </row>
    <row r="1983" spans="1:7" ht="22.5" x14ac:dyDescent="0.25">
      <c r="A1983" s="13">
        <v>14341</v>
      </c>
      <c r="B1983" s="14">
        <v>43445.760798611111</v>
      </c>
      <c r="C1983" s="13" t="s">
        <v>10</v>
      </c>
      <c r="D1983" s="13" t="str">
        <f>"FT RIC BENI/SERVIZI NON SANITARI"</f>
        <v>FT RIC BENI/SERVIZI NON SANITARI</v>
      </c>
      <c r="E1983" s="13" t="str">
        <f>"CO.L.SER SERVIZI SCRL"</f>
        <v>CO.L.SER SERVIZI SCRL</v>
      </c>
      <c r="F1983" s="13" t="str">
        <f>"ALTRE SPESE PER SERV.NON SANITARI"</f>
        <v>ALTRE SPESE PER SERV.NON SANITARI</v>
      </c>
      <c r="G1983" s="15">
        <v>305.75</v>
      </c>
    </row>
    <row r="1984" spans="1:7" ht="22.5" x14ac:dyDescent="0.25">
      <c r="A1984" s="13">
        <v>14342</v>
      </c>
      <c r="B1984" s="14">
        <v>43445.760798611111</v>
      </c>
      <c r="C1984" s="13" t="s">
        <v>10</v>
      </c>
      <c r="D1984" s="13" t="str">
        <f>"FT RIC BENI/SERVIZI NON SANITARI"</f>
        <v>FT RIC BENI/SERVIZI NON SANITARI</v>
      </c>
      <c r="E1984" s="13" t="str">
        <f>"CO.L.SER SERVIZI SCRL"</f>
        <v>CO.L.SER SERVIZI SCRL</v>
      </c>
      <c r="F1984" s="13" t="str">
        <f>"ALTRE SPESE PER SERV.NON SANITARI"</f>
        <v>ALTRE SPESE PER SERV.NON SANITARI</v>
      </c>
      <c r="G1984" s="15">
        <v>11.47</v>
      </c>
    </row>
    <row r="1985" spans="1:7" ht="22.5" x14ac:dyDescent="0.25">
      <c r="A1985" s="13">
        <v>14343</v>
      </c>
      <c r="B1985" s="14">
        <v>43445.760798611111</v>
      </c>
      <c r="C1985" s="13" t="s">
        <v>10</v>
      </c>
      <c r="D1985" s="13" t="str">
        <f>"FT RIC BENI/SERVIZI NON SANITARI"</f>
        <v>FT RIC BENI/SERVIZI NON SANITARI</v>
      </c>
      <c r="E1985" s="13" t="str">
        <f>"CO.L.SER SERVIZI SCRL"</f>
        <v>CO.L.SER SERVIZI SCRL</v>
      </c>
      <c r="F1985" s="13" t="str">
        <f>"ALTRE SPESE PER SERV.NON SANITARI"</f>
        <v>ALTRE SPESE PER SERV.NON SANITARI</v>
      </c>
      <c r="G1985" s="15">
        <v>20.63</v>
      </c>
    </row>
    <row r="1986" spans="1:7" ht="22.5" x14ac:dyDescent="0.25">
      <c r="A1986" s="13">
        <v>14344</v>
      </c>
      <c r="B1986" s="14">
        <v>43445.760798611111</v>
      </c>
      <c r="C1986" s="13" t="s">
        <v>10</v>
      </c>
      <c r="D1986" s="13" t="str">
        <f>"FT RIC BENI/SERVIZI NON SANITARI"</f>
        <v>FT RIC BENI/SERVIZI NON SANITARI</v>
      </c>
      <c r="E1986" s="13" t="str">
        <f>"CO.L.SER SERVIZI SCRL"</f>
        <v>CO.L.SER SERVIZI SCRL</v>
      </c>
      <c r="F1986" s="13" t="str">
        <f>"ALTRE SPESE PER SERV.NON SANITARI"</f>
        <v>ALTRE SPESE PER SERV.NON SANITARI</v>
      </c>
      <c r="G1986" s="15">
        <v>-93.62</v>
      </c>
    </row>
    <row r="1987" spans="1:7" ht="22.5" x14ac:dyDescent="0.25">
      <c r="A1987" s="13">
        <v>14345</v>
      </c>
      <c r="B1987" s="14">
        <v>43445.760798611111</v>
      </c>
      <c r="C1987" s="13" t="s">
        <v>10</v>
      </c>
      <c r="D1987" s="13" t="str">
        <f>"FT RIC BENI/SERVIZI NON SANITARI"</f>
        <v>FT RIC BENI/SERVIZI NON SANITARI</v>
      </c>
      <c r="E1987" s="13" t="str">
        <f>"CO.L.SER SERVIZI SCRL"</f>
        <v>CO.L.SER SERVIZI SCRL</v>
      </c>
      <c r="F1987" s="13" t="str">
        <f>"ALTRE SPESE PER SERV.NON SANITARI"</f>
        <v>ALTRE SPESE PER SERV.NON SANITARI</v>
      </c>
      <c r="G1987" s="15">
        <v>2440</v>
      </c>
    </row>
    <row r="1988" spans="1:7" ht="22.5" x14ac:dyDescent="0.25">
      <c r="A1988" s="13">
        <v>14346</v>
      </c>
      <c r="B1988" s="14">
        <v>43445.760844907411</v>
      </c>
      <c r="C1988" s="13" t="s">
        <v>10</v>
      </c>
      <c r="D1988" s="13" t="str">
        <f>"FT RIC BENI/SERVIZI SANITARI"</f>
        <v>FT RIC BENI/SERVIZI SANITARI</v>
      </c>
      <c r="E1988" s="13" t="str">
        <f t="shared" ref="E1988:E1997" si="148">"LIMACORPORATE SPA"</f>
        <v>LIMACORPORATE SPA</v>
      </c>
      <c r="F1988" s="13" t="s">
        <v>14</v>
      </c>
      <c r="G1988" s="15">
        <v>1486.68</v>
      </c>
    </row>
    <row r="1989" spans="1:7" ht="22.5" x14ac:dyDescent="0.25">
      <c r="A1989" s="13">
        <v>14347</v>
      </c>
      <c r="B1989" s="14">
        <v>43445.760844907411</v>
      </c>
      <c r="C1989" s="13" t="s">
        <v>10</v>
      </c>
      <c r="D1989" s="13" t="str">
        <f>"FT RIC BENI/SERVIZI SANITARI"</f>
        <v>FT RIC BENI/SERVIZI SANITARI</v>
      </c>
      <c r="E1989" s="13" t="str">
        <f t="shared" si="148"/>
        <v>LIMACORPORATE SPA</v>
      </c>
      <c r="F1989" s="13" t="s">
        <v>14</v>
      </c>
      <c r="G1989" s="15">
        <v>1486.68</v>
      </c>
    </row>
    <row r="1990" spans="1:7" ht="22.5" x14ac:dyDescent="0.25">
      <c r="A1990" s="13">
        <v>14348</v>
      </c>
      <c r="B1990" s="14">
        <v>43445.760844907411</v>
      </c>
      <c r="C1990" s="13" t="s">
        <v>10</v>
      </c>
      <c r="D1990" s="13" t="str">
        <f>"FT RIC BENI/SERVIZI SANITARI"</f>
        <v>FT RIC BENI/SERVIZI SANITARI</v>
      </c>
      <c r="E1990" s="13" t="str">
        <f t="shared" si="148"/>
        <v>LIMACORPORATE SPA</v>
      </c>
      <c r="F1990" s="13" t="s">
        <v>14</v>
      </c>
      <c r="G1990" s="15">
        <v>1486.68</v>
      </c>
    </row>
    <row r="1991" spans="1:7" ht="22.5" x14ac:dyDescent="0.25">
      <c r="A1991" s="13">
        <v>14349</v>
      </c>
      <c r="B1991" s="14">
        <v>43445.760844907411</v>
      </c>
      <c r="C1991" s="13" t="s">
        <v>10</v>
      </c>
      <c r="D1991" s="13" t="str">
        <f>"FT RIC BENI/SERVIZI SANITARI"</f>
        <v>FT RIC BENI/SERVIZI SANITARI</v>
      </c>
      <c r="E1991" s="13" t="str">
        <f t="shared" si="148"/>
        <v>LIMACORPORATE SPA</v>
      </c>
      <c r="F1991" s="13" t="s">
        <v>14</v>
      </c>
      <c r="G1991" s="15">
        <v>2232.12</v>
      </c>
    </row>
    <row r="1992" spans="1:7" ht="22.5" x14ac:dyDescent="0.25">
      <c r="A1992" s="13">
        <v>14350</v>
      </c>
      <c r="B1992" s="14">
        <v>43445.760844907411</v>
      </c>
      <c r="C1992" s="13" t="s">
        <v>10</v>
      </c>
      <c r="D1992" s="13" t="str">
        <f t="shared" ref="D1992:D1997" si="149">"MATERIALE PROTESICO"</f>
        <v>MATERIALE PROTESICO</v>
      </c>
      <c r="E1992" s="13" t="str">
        <f t="shared" si="148"/>
        <v>LIMACORPORATE SPA</v>
      </c>
      <c r="F1992" s="13" t="s">
        <v>14</v>
      </c>
      <c r="G1992" s="15">
        <v>1486.68</v>
      </c>
    </row>
    <row r="1993" spans="1:7" ht="22.5" x14ac:dyDescent="0.25">
      <c r="A1993" s="13">
        <v>14351</v>
      </c>
      <c r="B1993" s="14">
        <v>43445.760844907411</v>
      </c>
      <c r="C1993" s="13" t="s">
        <v>10</v>
      </c>
      <c r="D1993" s="13" t="str">
        <f t="shared" si="149"/>
        <v>MATERIALE PROTESICO</v>
      </c>
      <c r="E1993" s="13" t="str">
        <f t="shared" si="148"/>
        <v>LIMACORPORATE SPA</v>
      </c>
      <c r="F1993" s="13" t="s">
        <v>14</v>
      </c>
      <c r="G1993" s="15">
        <v>1632.12</v>
      </c>
    </row>
    <row r="1994" spans="1:7" ht="22.5" x14ac:dyDescent="0.25">
      <c r="A1994" s="13">
        <v>14352</v>
      </c>
      <c r="B1994" s="14">
        <v>43445.760844907411</v>
      </c>
      <c r="C1994" s="13" t="s">
        <v>10</v>
      </c>
      <c r="D1994" s="13" t="str">
        <f t="shared" si="149"/>
        <v>MATERIALE PROTESICO</v>
      </c>
      <c r="E1994" s="13" t="str">
        <f t="shared" si="148"/>
        <v>LIMACORPORATE SPA</v>
      </c>
      <c r="F1994" s="13" t="s">
        <v>14</v>
      </c>
      <c r="G1994" s="15">
        <v>1486.68</v>
      </c>
    </row>
    <row r="1995" spans="1:7" ht="22.5" x14ac:dyDescent="0.25">
      <c r="A1995" s="13">
        <v>14353</v>
      </c>
      <c r="B1995" s="14">
        <v>43445.760844907411</v>
      </c>
      <c r="C1995" s="13" t="s">
        <v>10</v>
      </c>
      <c r="D1995" s="13" t="str">
        <f t="shared" si="149"/>
        <v>MATERIALE PROTESICO</v>
      </c>
      <c r="E1995" s="13" t="str">
        <f t="shared" si="148"/>
        <v>LIMACORPORATE SPA</v>
      </c>
      <c r="F1995" s="13" t="s">
        <v>14</v>
      </c>
      <c r="G1995" s="15">
        <v>1486.68</v>
      </c>
    </row>
    <row r="1996" spans="1:7" ht="22.5" x14ac:dyDescent="0.25">
      <c r="A1996" s="13">
        <v>14354</v>
      </c>
      <c r="B1996" s="14">
        <v>43445.760844907411</v>
      </c>
      <c r="C1996" s="13" t="s">
        <v>10</v>
      </c>
      <c r="D1996" s="13" t="str">
        <f t="shared" si="149"/>
        <v>MATERIALE PROTESICO</v>
      </c>
      <c r="E1996" s="13" t="str">
        <f t="shared" si="148"/>
        <v>LIMACORPORATE SPA</v>
      </c>
      <c r="F1996" s="13" t="s">
        <v>14</v>
      </c>
      <c r="G1996" s="15">
        <v>1486.68</v>
      </c>
    </row>
    <row r="1997" spans="1:7" ht="22.5" x14ac:dyDescent="0.25">
      <c r="A1997" s="13">
        <v>14355</v>
      </c>
      <c r="B1997" s="14">
        <v>43445.760844907411</v>
      </c>
      <c r="C1997" s="13" t="s">
        <v>10</v>
      </c>
      <c r="D1997" s="13" t="str">
        <f t="shared" si="149"/>
        <v>MATERIALE PROTESICO</v>
      </c>
      <c r="E1997" s="13" t="str">
        <f t="shared" si="148"/>
        <v>LIMACORPORATE SPA</v>
      </c>
      <c r="F1997" s="13" t="s">
        <v>14</v>
      </c>
      <c r="G1997" s="15">
        <v>1486.68</v>
      </c>
    </row>
    <row r="1998" spans="1:7" ht="22.5" x14ac:dyDescent="0.25">
      <c r="A1998" s="13">
        <v>14356</v>
      </c>
      <c r="B1998" s="14">
        <v>43445.760868055557</v>
      </c>
      <c r="C1998" s="13" t="s">
        <v>10</v>
      </c>
      <c r="D1998" s="13" t="str">
        <f>"NC. DA RICEVERE"</f>
        <v>NC. DA RICEVERE</v>
      </c>
      <c r="E1998" s="13" t="str">
        <f>"HOFER MEDICAL ITALIA SRL"</f>
        <v>HOFER MEDICAL ITALIA SRL</v>
      </c>
      <c r="F1998" s="13" t="s">
        <v>14</v>
      </c>
      <c r="G1998" s="15">
        <v>1152</v>
      </c>
    </row>
    <row r="1999" spans="1:7" ht="22.5" x14ac:dyDescent="0.25">
      <c r="A1999" s="13">
        <v>14357</v>
      </c>
      <c r="B1999" s="14">
        <v>43445.760868055557</v>
      </c>
      <c r="C1999" s="13" t="s">
        <v>10</v>
      </c>
      <c r="D1999" s="13" t="str">
        <f>"NC. DA RICEVERE"</f>
        <v>NC. DA RICEVERE</v>
      </c>
      <c r="E1999" s="13" t="str">
        <f>"HOFER MEDICAL ITALIA SRL"</f>
        <v>HOFER MEDICAL ITALIA SRL</v>
      </c>
      <c r="F1999" s="13" t="s">
        <v>14</v>
      </c>
      <c r="G1999" s="15">
        <v>-270</v>
      </c>
    </row>
    <row r="2000" spans="1:7" ht="22.5" x14ac:dyDescent="0.25">
      <c r="A2000" s="13">
        <v>14358</v>
      </c>
      <c r="B2000" s="14">
        <v>43446.366990740738</v>
      </c>
      <c r="C2000" s="13" t="s">
        <v>11</v>
      </c>
      <c r="D2000" s="13" t="str">
        <f>"MANUT.ORD.E RIPAR.ATTREZZ.SAN. E TEC.SC."</f>
        <v>MANUT.ORD.E RIPAR.ATTREZZ.SAN. E TEC.SC.</v>
      </c>
      <c r="E2000" s="13" t="str">
        <f>"ELETTRONICA BIO MEDICALE SRL"</f>
        <v>ELETTRONICA BIO MEDICALE SRL</v>
      </c>
      <c r="F2000" s="13" t="s">
        <v>15</v>
      </c>
      <c r="G2000" s="15">
        <v>34513.089999999997</v>
      </c>
    </row>
    <row r="2001" spans="1:7" ht="22.5" x14ac:dyDescent="0.25">
      <c r="A2001" s="13">
        <v>14359</v>
      </c>
      <c r="B2001" s="14">
        <v>43446.366990740738</v>
      </c>
      <c r="C2001" s="13" t="s">
        <v>11</v>
      </c>
      <c r="D2001" s="13" t="str">
        <f>"MANUT.ORD.E RIPAR.ATTREZZ.SAN. E TEC.SC."</f>
        <v>MANUT.ORD.E RIPAR.ATTREZZ.SAN. E TEC.SC.</v>
      </c>
      <c r="E2001" s="13" t="str">
        <f>"ELETTRONICA BIO MEDICALE SRL"</f>
        <v>ELETTRONICA BIO MEDICALE SRL</v>
      </c>
      <c r="F2001" s="13" t="s">
        <v>15</v>
      </c>
      <c r="G2001" s="15">
        <v>34513.089999999997</v>
      </c>
    </row>
    <row r="2002" spans="1:7" ht="22.5" x14ac:dyDescent="0.25">
      <c r="A2002" s="13">
        <v>14360</v>
      </c>
      <c r="B2002" s="14">
        <v>43446.366990740738</v>
      </c>
      <c r="C2002" s="13" t="s">
        <v>11</v>
      </c>
      <c r="D2002" s="13" t="str">
        <f>"MANUT.ORD.E RIPAR.ATTREZZ.SAN. E TEC.SC."</f>
        <v>MANUT.ORD.E RIPAR.ATTREZZ.SAN. E TEC.SC.</v>
      </c>
      <c r="E2002" s="13" t="str">
        <f>"ELETTRONICA BIO MEDICALE SRL"</f>
        <v>ELETTRONICA BIO MEDICALE SRL</v>
      </c>
      <c r="F2002" s="13" t="s">
        <v>15</v>
      </c>
      <c r="G2002" s="15">
        <v>34513.089999999997</v>
      </c>
    </row>
    <row r="2003" spans="1:7" ht="33.75" x14ac:dyDescent="0.25">
      <c r="A2003" s="13">
        <v>14361</v>
      </c>
      <c r="B2003" s="14">
        <v>43446.366990740738</v>
      </c>
      <c r="C2003" s="13" t="s">
        <v>10</v>
      </c>
      <c r="D2003" s="13" t="str">
        <f>"SERVIZIO TRASPORTO MAGAZZINAGGIO FACCHINAGGIO IN APPALTO"</f>
        <v>SERVIZIO TRASPORTO MAGAZZINAGGIO FACCHINAGGIO IN APPALTO</v>
      </c>
      <c r="E2003" s="13" t="str">
        <f>"MEDICAL TRANSPORT SOCIETA' COOPERATIVA SOCIALE - ONLUS"</f>
        <v>MEDICAL TRANSPORT SOCIETA' COOPERATIVA SOCIALE - ONLUS</v>
      </c>
      <c r="F2003" s="13" t="s">
        <v>14</v>
      </c>
      <c r="G2003" s="15">
        <v>2750</v>
      </c>
    </row>
    <row r="2004" spans="1:7" ht="33.75" x14ac:dyDescent="0.25">
      <c r="A2004" s="13">
        <v>14362</v>
      </c>
      <c r="B2004" s="14">
        <v>43446.366990740738</v>
      </c>
      <c r="C2004" s="13" t="s">
        <v>10</v>
      </c>
      <c r="D2004" s="13" t="str">
        <f>"SERVIZIO TRASPORTO MAGAZZINAGGIO FACCHINAGGIO IN APPALTO"</f>
        <v>SERVIZIO TRASPORTO MAGAZZINAGGIO FACCHINAGGIO IN APPALTO</v>
      </c>
      <c r="E2004" s="13" t="str">
        <f>"MEDICAL TRANSPORT SOCIETA' COOPERATIVA SOCIALE - ONLUS"</f>
        <v>MEDICAL TRANSPORT SOCIETA' COOPERATIVA SOCIALE - ONLUS</v>
      </c>
      <c r="F2004" s="13" t="s">
        <v>14</v>
      </c>
      <c r="G2004" s="15">
        <v>2750</v>
      </c>
    </row>
    <row r="2005" spans="1:7" ht="22.5" x14ac:dyDescent="0.25">
      <c r="A2005" s="13">
        <v>14363</v>
      </c>
      <c r="B2005" s="14">
        <v>43446.366990740738</v>
      </c>
      <c r="C2005" s="13" t="s">
        <v>10</v>
      </c>
      <c r="D2005" s="13" t="str">
        <f>"TELEFONO"</f>
        <v>TELEFONO</v>
      </c>
      <c r="E2005" s="13" t="str">
        <f>"FASTWEB SPA a Socio Unico"</f>
        <v>FASTWEB SPA a Socio Unico</v>
      </c>
      <c r="F2005" s="13" t="s">
        <v>20</v>
      </c>
      <c r="G2005" s="15">
        <v>16268.56</v>
      </c>
    </row>
    <row r="2006" spans="1:7" ht="22.5" x14ac:dyDescent="0.25">
      <c r="A2006" s="13">
        <v>14364</v>
      </c>
      <c r="B2006" s="14">
        <v>43446.366990740738</v>
      </c>
      <c r="C2006" s="13" t="s">
        <v>10</v>
      </c>
      <c r="D2006" s="13" t="str">
        <f>"TELEFONO"</f>
        <v>TELEFONO</v>
      </c>
      <c r="E2006" s="13" t="str">
        <f>"FASTWEB SPA a Socio Unico"</f>
        <v>FASTWEB SPA a Socio Unico</v>
      </c>
      <c r="F2006" s="13" t="s">
        <v>20</v>
      </c>
      <c r="G2006" s="15">
        <v>4634.99</v>
      </c>
    </row>
    <row r="2007" spans="1:7" ht="22.5" x14ac:dyDescent="0.25">
      <c r="A2007" s="13">
        <v>14365</v>
      </c>
      <c r="B2007" s="14">
        <v>43446.367002314815</v>
      </c>
      <c r="C2007" s="13" t="s">
        <v>13</v>
      </c>
      <c r="D2007" s="13" t="str">
        <f>"MOBILI E ARREDI"</f>
        <v>MOBILI E ARREDI</v>
      </c>
      <c r="E2007" s="13" t="str">
        <f>"ITALIA MEDICA INTERNATIONAL SRL"</f>
        <v>ITALIA MEDICA INTERNATIONAL SRL</v>
      </c>
      <c r="F2007" s="13" t="s">
        <v>15</v>
      </c>
      <c r="G2007" s="15">
        <v>3497</v>
      </c>
    </row>
    <row r="2008" spans="1:7" ht="22.5" x14ac:dyDescent="0.25">
      <c r="A2008" s="13">
        <v>14366</v>
      </c>
      <c r="B2008" s="14">
        <v>43446.367002314815</v>
      </c>
      <c r="C2008" s="13" t="s">
        <v>10</v>
      </c>
      <c r="D2008" s="13" t="str">
        <f>"PRESTAZIONI SANITARIE DA ASST/ATS REGIONE"</f>
        <v>PRESTAZIONI SANITARIE DA ASST/ATS REGIONE</v>
      </c>
      <c r="E2008" s="13" t="str">
        <f>"HUMANITAS MIRASOLE SPA"</f>
        <v>HUMANITAS MIRASOLE SPA</v>
      </c>
      <c r="F2008" s="13" t="str">
        <f>"ACQ.PREST.SAN.DA STRUTT.SAN.REG."</f>
        <v>ACQ.PREST.SAN.DA STRUTT.SAN.REG.</v>
      </c>
      <c r="G2008" s="15">
        <v>2990</v>
      </c>
    </row>
    <row r="2009" spans="1:7" ht="22.5" x14ac:dyDescent="0.25">
      <c r="A2009" s="13">
        <v>14367</v>
      </c>
      <c r="B2009" s="14">
        <v>43446.367002314815</v>
      </c>
      <c r="C2009" s="13" t="s">
        <v>11</v>
      </c>
      <c r="D2009" s="13" t="str">
        <f>"SPESE POS"</f>
        <v>SPESE POS</v>
      </c>
      <c r="E2009" s="13" t="str">
        <f>"INTESA SANPAOLO SPA"</f>
        <v>INTESA SANPAOLO SPA</v>
      </c>
      <c r="F2009" s="13" t="str">
        <f>"Canone spese di servizio POS"</f>
        <v>Canone spese di servizio POS</v>
      </c>
      <c r="G2009" s="15">
        <v>7.6</v>
      </c>
    </row>
    <row r="2010" spans="1:7" ht="22.5" x14ac:dyDescent="0.25">
      <c r="A2010" s="13">
        <v>14368</v>
      </c>
      <c r="B2010" s="14">
        <v>43446.681203703702</v>
      </c>
      <c r="C2010" s="13" t="s">
        <v>10</v>
      </c>
      <c r="D2010" s="13" t="str">
        <f>"CONTO MIGRAZIONE PARTITE PASSIVE"</f>
        <v>CONTO MIGRAZIONE PARTITE PASSIVE</v>
      </c>
      <c r="E2010" s="13" t="str">
        <f>"ASST NORD OPERAZIONI DI CONFERIMENTO/SCORPORO LR23/2015"</f>
        <v>ASST NORD OPERAZIONI DI CONFERIMENTO/SCORPORO LR23/2015</v>
      </c>
      <c r="F2010" s="13" t="str">
        <f>"ASST OPERAZIONE SCORPORO"</f>
        <v>ASST OPERAZIONE SCORPORO</v>
      </c>
      <c r="G2010" s="15">
        <v>656329.43999999994</v>
      </c>
    </row>
    <row r="2011" spans="1:7" ht="22.5" x14ac:dyDescent="0.25">
      <c r="A2011" s="13">
        <v>14369</v>
      </c>
      <c r="B2011" s="14">
        <v>43446.681215277778</v>
      </c>
      <c r="C2011" s="13" t="s">
        <v>10</v>
      </c>
      <c r="D2011" s="13" t="str">
        <f>"DEPOSITI CAUZIONALI ARMADIETTO/BADGE"</f>
        <v>DEPOSITI CAUZIONALI ARMADIETTO/BADGE</v>
      </c>
      <c r="E2011" s="13" t="str">
        <f>"CICATELLI ALFONSO"</f>
        <v>CICATELLI ALFONSO</v>
      </c>
      <c r="F2011" s="13" t="str">
        <f>"Restituzione deposito cauzionale"</f>
        <v>Restituzione deposito cauzionale</v>
      </c>
      <c r="G2011" s="15">
        <v>90</v>
      </c>
    </row>
    <row r="2012" spans="1:7" ht="22.5" x14ac:dyDescent="0.25">
      <c r="A2012" s="13">
        <v>14370</v>
      </c>
      <c r="B2012" s="14">
        <v>43446.681215277778</v>
      </c>
      <c r="C2012" s="13" t="s">
        <v>10</v>
      </c>
      <c r="D2012" s="13" t="str">
        <f>"DEPOSITI CAUZIONALI ARMADIETTO/BADGE"</f>
        <v>DEPOSITI CAUZIONALI ARMADIETTO/BADGE</v>
      </c>
      <c r="E2012" s="13" t="str">
        <f>"LINGUADOCA SARA"</f>
        <v>LINGUADOCA SARA</v>
      </c>
      <c r="F2012" s="13" t="str">
        <f>"Restituzione deposito cauzionale"</f>
        <v>Restituzione deposito cauzionale</v>
      </c>
      <c r="G2012" s="15">
        <v>90</v>
      </c>
    </row>
    <row r="2013" spans="1:7" ht="22.5" x14ac:dyDescent="0.25">
      <c r="A2013" s="13">
        <v>14371</v>
      </c>
      <c r="B2013" s="14">
        <v>43447.404594907406</v>
      </c>
      <c r="C2013" s="13" t="s">
        <v>13</v>
      </c>
      <c r="D2013" s="13" t="str">
        <f>"ATTREZZATURE E APPARECCHIATURE SANITARIE"</f>
        <v>ATTREZZATURE E APPARECCHIATURE SANITARIE</v>
      </c>
      <c r="E2013" s="13" t="str">
        <f>"MIDA TECNOLOGIA MEDICA SPA"</f>
        <v>MIDA TECNOLOGIA MEDICA SPA</v>
      </c>
      <c r="F2013" s="13" t="s">
        <v>14</v>
      </c>
      <c r="G2013" s="15">
        <v>2500</v>
      </c>
    </row>
    <row r="2014" spans="1:7" ht="22.5" x14ac:dyDescent="0.25">
      <c r="A2014" s="13">
        <v>14372</v>
      </c>
      <c r="B2014" s="14">
        <v>43447.404606481483</v>
      </c>
      <c r="C2014" s="13" t="s">
        <v>13</v>
      </c>
      <c r="D2014" s="13" t="str">
        <f>"FABBRICATI STRUMENTALI"</f>
        <v>FABBRICATI STRUMENTALI</v>
      </c>
      <c r="E2014" s="13" t="str">
        <f>"MONTALTI GIANPIERO"</f>
        <v>MONTALTI GIANPIERO</v>
      </c>
      <c r="F2014" s="13" t="s">
        <v>14</v>
      </c>
      <c r="G2014" s="15">
        <v>2404.8000000000002</v>
      </c>
    </row>
    <row r="2015" spans="1:7" ht="22.5" x14ac:dyDescent="0.25">
      <c r="A2015" s="13">
        <v>14373</v>
      </c>
      <c r="B2015" s="14">
        <v>43447.404606481483</v>
      </c>
      <c r="C2015" s="13" t="s">
        <v>13</v>
      </c>
      <c r="D2015" s="13" t="str">
        <f>"FT RIC MONTALTI GIANPIERO"</f>
        <v>FT RIC MONTALTI GIANPIERO</v>
      </c>
      <c r="E2015" s="13" t="str">
        <f>"MONTALTI GIANPIERO"</f>
        <v>MONTALTI GIANPIERO</v>
      </c>
      <c r="F2015" s="13" t="s">
        <v>15</v>
      </c>
      <c r="G2015" s="15">
        <v>1830.85</v>
      </c>
    </row>
    <row r="2016" spans="1:7" ht="22.5" x14ac:dyDescent="0.25">
      <c r="A2016" s="13">
        <v>14374</v>
      </c>
      <c r="B2016" s="14">
        <v>43447.404606481483</v>
      </c>
      <c r="C2016" s="13" t="s">
        <v>10</v>
      </c>
      <c r="D2016" s="13" t="str">
        <f>"MATERIALE PROTESICO"</f>
        <v>MATERIALE PROTESICO</v>
      </c>
      <c r="E2016" s="13" t="str">
        <f>"JOHNSON &amp; JOHNSON MEDICAL SPA"</f>
        <v>JOHNSON &amp; JOHNSON MEDICAL SPA</v>
      </c>
      <c r="F2016" s="13" t="s">
        <v>14</v>
      </c>
      <c r="G2016" s="15">
        <v>1082.8800000000001</v>
      </c>
    </row>
    <row r="2017" spans="1:7" ht="22.5" x14ac:dyDescent="0.25">
      <c r="A2017" s="13">
        <v>14375</v>
      </c>
      <c r="B2017" s="14">
        <v>43447.404606481483</v>
      </c>
      <c r="C2017" s="13" t="s">
        <v>10</v>
      </c>
      <c r="D2017" s="13" t="str">
        <f t="shared" ref="D2017:D2023" si="150">"NOTE CREDITO DA EMETTERE"</f>
        <v>NOTE CREDITO DA EMETTERE</v>
      </c>
      <c r="E2017" s="13" t="str">
        <f>"JOHNSON &amp; JOHNSON MEDICAL SPA"</f>
        <v>JOHNSON &amp; JOHNSON MEDICAL SPA</v>
      </c>
      <c r="F2017" s="13" t="s">
        <v>14</v>
      </c>
      <c r="G2017" s="15">
        <v>-629.28</v>
      </c>
    </row>
    <row r="2018" spans="1:7" ht="22.5" x14ac:dyDescent="0.25">
      <c r="A2018" s="13">
        <v>14376</v>
      </c>
      <c r="B2018" s="14">
        <v>43447.404606481483</v>
      </c>
      <c r="C2018" s="13" t="s">
        <v>10</v>
      </c>
      <c r="D2018" s="13" t="str">
        <f t="shared" si="150"/>
        <v>NOTE CREDITO DA EMETTERE</v>
      </c>
      <c r="E2018" s="13" t="str">
        <f t="shared" ref="E2018:E2023" si="151">"RICCI SRL - Forniture Alimentari"</f>
        <v>RICCI SRL - Forniture Alimentari</v>
      </c>
      <c r="F2018" s="13" t="s">
        <v>14</v>
      </c>
      <c r="G2018" s="15">
        <v>968.52</v>
      </c>
    </row>
    <row r="2019" spans="1:7" ht="22.5" x14ac:dyDescent="0.25">
      <c r="A2019" s="13">
        <v>14377</v>
      </c>
      <c r="B2019" s="14">
        <v>43447.404606481483</v>
      </c>
      <c r="C2019" s="13" t="s">
        <v>10</v>
      </c>
      <c r="D2019" s="13" t="str">
        <f t="shared" si="150"/>
        <v>NOTE CREDITO DA EMETTERE</v>
      </c>
      <c r="E2019" s="13" t="str">
        <f t="shared" si="151"/>
        <v>RICCI SRL - Forniture Alimentari</v>
      </c>
      <c r="F2019" s="13" t="s">
        <v>14</v>
      </c>
      <c r="G2019" s="15">
        <v>-416.56</v>
      </c>
    </row>
    <row r="2020" spans="1:7" ht="22.5" x14ac:dyDescent="0.25">
      <c r="A2020" s="13">
        <v>14378</v>
      </c>
      <c r="B2020" s="14">
        <v>43447.404606481483</v>
      </c>
      <c r="C2020" s="13" t="s">
        <v>10</v>
      </c>
      <c r="D2020" s="13" t="str">
        <f t="shared" si="150"/>
        <v>NOTE CREDITO DA EMETTERE</v>
      </c>
      <c r="E2020" s="13" t="str">
        <f t="shared" si="151"/>
        <v>RICCI SRL - Forniture Alimentari</v>
      </c>
      <c r="F2020" s="13" t="s">
        <v>14</v>
      </c>
      <c r="G2020" s="15">
        <v>416.56</v>
      </c>
    </row>
    <row r="2021" spans="1:7" ht="22.5" x14ac:dyDescent="0.25">
      <c r="A2021" s="13">
        <v>14379</v>
      </c>
      <c r="B2021" s="14">
        <v>43447.404606481483</v>
      </c>
      <c r="C2021" s="13" t="s">
        <v>10</v>
      </c>
      <c r="D2021" s="13" t="str">
        <f t="shared" si="150"/>
        <v>NOTE CREDITO DA EMETTERE</v>
      </c>
      <c r="E2021" s="13" t="str">
        <f t="shared" si="151"/>
        <v>RICCI SRL - Forniture Alimentari</v>
      </c>
      <c r="F2021" s="13" t="s">
        <v>14</v>
      </c>
      <c r="G2021" s="15">
        <v>-968.52</v>
      </c>
    </row>
    <row r="2022" spans="1:7" ht="22.5" x14ac:dyDescent="0.25">
      <c r="A2022" s="13">
        <v>14380</v>
      </c>
      <c r="B2022" s="14">
        <v>43447.404606481483</v>
      </c>
      <c r="C2022" s="13" t="s">
        <v>10</v>
      </c>
      <c r="D2022" s="13" t="str">
        <f t="shared" si="150"/>
        <v>NOTE CREDITO DA EMETTERE</v>
      </c>
      <c r="E2022" s="13" t="str">
        <f t="shared" si="151"/>
        <v>RICCI SRL - Forniture Alimentari</v>
      </c>
      <c r="F2022" s="13" t="s">
        <v>14</v>
      </c>
      <c r="G2022" s="15">
        <v>758.5</v>
      </c>
    </row>
    <row r="2023" spans="1:7" ht="22.5" x14ac:dyDescent="0.25">
      <c r="A2023" s="13">
        <v>14381</v>
      </c>
      <c r="B2023" s="14">
        <v>43447.404606481483</v>
      </c>
      <c r="C2023" s="13" t="s">
        <v>10</v>
      </c>
      <c r="D2023" s="13" t="str">
        <f t="shared" si="150"/>
        <v>NOTE CREDITO DA EMETTERE</v>
      </c>
      <c r="E2023" s="13" t="str">
        <f t="shared" si="151"/>
        <v>RICCI SRL - Forniture Alimentari</v>
      </c>
      <c r="F2023" s="13" t="s">
        <v>14</v>
      </c>
      <c r="G2023" s="15">
        <v>-758.5</v>
      </c>
    </row>
    <row r="2024" spans="1:7" ht="22.5" x14ac:dyDescent="0.25">
      <c r="A2024" s="13">
        <v>14382</v>
      </c>
      <c r="B2024" s="14">
        <v>43447.404606481483</v>
      </c>
      <c r="C2024" s="13" t="s">
        <v>10</v>
      </c>
      <c r="D2024" s="13" t="str">
        <f t="shared" ref="D2024:D2032" si="152">"PRODOTTI ALIMENTARI"</f>
        <v>PRODOTTI ALIMENTARI</v>
      </c>
      <c r="E2024" s="13" t="str">
        <f>"PANIFICIO CIMNAGHI di Alberto di Renzo"</f>
        <v>PANIFICIO CIMNAGHI di Alberto di Renzo</v>
      </c>
      <c r="F2024" s="13" t="s">
        <v>16</v>
      </c>
      <c r="G2024" s="15">
        <v>1053.9000000000001</v>
      </c>
    </row>
    <row r="2025" spans="1:7" ht="22.5" x14ac:dyDescent="0.25">
      <c r="A2025" s="13">
        <v>14383</v>
      </c>
      <c r="B2025" s="14">
        <v>43447.404606481483</v>
      </c>
      <c r="C2025" s="13" t="s">
        <v>10</v>
      </c>
      <c r="D2025" s="13" t="str">
        <f t="shared" si="152"/>
        <v>PRODOTTI ALIMENTARI</v>
      </c>
      <c r="E2025" s="13" t="str">
        <f>"PANIFICIO CIMNAGHI di Alberto di Renzo"</f>
        <v>PANIFICIO CIMNAGHI di Alberto di Renzo</v>
      </c>
      <c r="F2025" s="13" t="s">
        <v>16</v>
      </c>
      <c r="G2025" s="15">
        <v>524.99</v>
      </c>
    </row>
    <row r="2026" spans="1:7" ht="22.5" x14ac:dyDescent="0.25">
      <c r="A2026" s="13">
        <v>14384</v>
      </c>
      <c r="B2026" s="14">
        <v>43447.404606481483</v>
      </c>
      <c r="C2026" s="13" t="s">
        <v>10</v>
      </c>
      <c r="D2026" s="13" t="str">
        <f t="shared" si="152"/>
        <v>PRODOTTI ALIMENTARI</v>
      </c>
      <c r="E2026" s="13" t="str">
        <f t="shared" ref="E2026:E2032" si="153">"RICCI SRL - Forniture Alimentari"</f>
        <v>RICCI SRL - Forniture Alimentari</v>
      </c>
      <c r="F2026" s="13" t="s">
        <v>16</v>
      </c>
      <c r="G2026" s="15">
        <v>416.56</v>
      </c>
    </row>
    <row r="2027" spans="1:7" ht="22.5" x14ac:dyDescent="0.25">
      <c r="A2027" s="13">
        <v>14385</v>
      </c>
      <c r="B2027" s="14">
        <v>43447.404606481483</v>
      </c>
      <c r="C2027" s="13" t="s">
        <v>10</v>
      </c>
      <c r="D2027" s="13" t="str">
        <f t="shared" si="152"/>
        <v>PRODOTTI ALIMENTARI</v>
      </c>
      <c r="E2027" s="13" t="str">
        <f t="shared" si="153"/>
        <v>RICCI SRL - Forniture Alimentari</v>
      </c>
      <c r="F2027" s="13" t="s">
        <v>16</v>
      </c>
      <c r="G2027" s="15">
        <v>551.96</v>
      </c>
    </row>
    <row r="2028" spans="1:7" ht="22.5" x14ac:dyDescent="0.25">
      <c r="A2028" s="13">
        <v>14386</v>
      </c>
      <c r="B2028" s="14">
        <v>43447.404606481483</v>
      </c>
      <c r="C2028" s="13" t="s">
        <v>10</v>
      </c>
      <c r="D2028" s="13" t="str">
        <f t="shared" si="152"/>
        <v>PRODOTTI ALIMENTARI</v>
      </c>
      <c r="E2028" s="13" t="str">
        <f t="shared" si="153"/>
        <v>RICCI SRL - Forniture Alimentari</v>
      </c>
      <c r="F2028" s="13" t="s">
        <v>16</v>
      </c>
      <c r="G2028" s="15">
        <v>207.76</v>
      </c>
    </row>
    <row r="2029" spans="1:7" ht="22.5" x14ac:dyDescent="0.25">
      <c r="A2029" s="13">
        <v>14387</v>
      </c>
      <c r="B2029" s="14">
        <v>43447.404606481483</v>
      </c>
      <c r="C2029" s="13" t="s">
        <v>10</v>
      </c>
      <c r="D2029" s="13" t="str">
        <f t="shared" si="152"/>
        <v>PRODOTTI ALIMENTARI</v>
      </c>
      <c r="E2029" s="13" t="str">
        <f t="shared" si="153"/>
        <v>RICCI SRL - Forniture Alimentari</v>
      </c>
      <c r="F2029" s="13" t="s">
        <v>16</v>
      </c>
      <c r="G2029" s="15">
        <v>244.96</v>
      </c>
    </row>
    <row r="2030" spans="1:7" ht="22.5" x14ac:dyDescent="0.25">
      <c r="A2030" s="13">
        <v>14388</v>
      </c>
      <c r="B2030" s="14">
        <v>43447.404606481483</v>
      </c>
      <c r="C2030" s="13" t="s">
        <v>10</v>
      </c>
      <c r="D2030" s="13" t="str">
        <f t="shared" si="152"/>
        <v>PRODOTTI ALIMENTARI</v>
      </c>
      <c r="E2030" s="13" t="str">
        <f t="shared" si="153"/>
        <v>RICCI SRL - Forniture Alimentari</v>
      </c>
      <c r="F2030" s="13" t="s">
        <v>16</v>
      </c>
      <c r="G2030" s="15">
        <v>513.54</v>
      </c>
    </row>
    <row r="2031" spans="1:7" ht="22.5" x14ac:dyDescent="0.25">
      <c r="A2031" s="13">
        <v>14389</v>
      </c>
      <c r="B2031" s="14">
        <v>43447.404606481483</v>
      </c>
      <c r="C2031" s="13" t="s">
        <v>10</v>
      </c>
      <c r="D2031" s="13" t="str">
        <f t="shared" si="152"/>
        <v>PRODOTTI ALIMENTARI</v>
      </c>
      <c r="E2031" s="13" t="str">
        <f t="shared" si="153"/>
        <v>RICCI SRL - Forniture Alimentari</v>
      </c>
      <c r="F2031" s="13" t="s">
        <v>16</v>
      </c>
      <c r="G2031" s="15">
        <v>3654.61</v>
      </c>
    </row>
    <row r="2032" spans="1:7" ht="22.5" x14ac:dyDescent="0.25">
      <c r="A2032" s="13">
        <v>14390</v>
      </c>
      <c r="B2032" s="14">
        <v>43447.404606481483</v>
      </c>
      <c r="C2032" s="13" t="s">
        <v>10</v>
      </c>
      <c r="D2032" s="13" t="str">
        <f t="shared" si="152"/>
        <v>PRODOTTI ALIMENTARI</v>
      </c>
      <c r="E2032" s="13" t="str">
        <f t="shared" si="153"/>
        <v>RICCI SRL - Forniture Alimentari</v>
      </c>
      <c r="F2032" s="13" t="s">
        <v>16</v>
      </c>
      <c r="G2032" s="15">
        <v>3755.43</v>
      </c>
    </row>
    <row r="2033" spans="1:7" ht="22.5" x14ac:dyDescent="0.25">
      <c r="A2033" s="13">
        <v>14391</v>
      </c>
      <c r="B2033" s="14">
        <v>43447.404618055552</v>
      </c>
      <c r="C2033" s="13" t="s">
        <v>10</v>
      </c>
      <c r="D2033" s="13" t="str">
        <f>"Pagamento Bollo Virtuale"</f>
        <v>Pagamento Bollo Virtuale</v>
      </c>
      <c r="E2033" s="13" t="str">
        <f>"ATS DELLA CITTA' METROPOLITANA DI MILANO"</f>
        <v>ATS DELLA CITTA' METROPOLITANA DI MILANO</v>
      </c>
      <c r="F2033" s="13" t="str">
        <f>"Pagamento Bollo Virtuale"</f>
        <v>Pagamento Bollo Virtuale</v>
      </c>
      <c r="G2033" s="15">
        <v>16</v>
      </c>
    </row>
    <row r="2034" spans="1:7" ht="22.5" x14ac:dyDescent="0.25">
      <c r="A2034" s="13">
        <v>14392</v>
      </c>
      <c r="B2034" s="14">
        <v>43447.404618055552</v>
      </c>
      <c r="C2034" s="13" t="s">
        <v>10</v>
      </c>
      <c r="D2034" s="13" t="str">
        <f>"PRODOTTI ALIMENTARI"</f>
        <v>PRODOTTI ALIMENTARI</v>
      </c>
      <c r="E2034" s="13" t="str">
        <f>"PELLEGRINI SPA"</f>
        <v>PELLEGRINI SPA</v>
      </c>
      <c r="F2034" s="13" t="s">
        <v>16</v>
      </c>
      <c r="G2034" s="15">
        <v>428.54</v>
      </c>
    </row>
    <row r="2035" spans="1:7" ht="22.5" x14ac:dyDescent="0.25">
      <c r="A2035" s="13">
        <v>14393</v>
      </c>
      <c r="B2035" s="14">
        <v>43447.404618055552</v>
      </c>
      <c r="C2035" s="13" t="s">
        <v>10</v>
      </c>
      <c r="D2035" s="13" t="str">
        <f>"PRODOTTI ALIMENTARI"</f>
        <v>PRODOTTI ALIMENTARI</v>
      </c>
      <c r="E2035" s="13" t="str">
        <f>"PELLEGRINI SPA"</f>
        <v>PELLEGRINI SPA</v>
      </c>
      <c r="F2035" s="13" t="s">
        <v>16</v>
      </c>
      <c r="G2035" s="15">
        <v>428.54</v>
      </c>
    </row>
    <row r="2036" spans="1:7" ht="22.5" x14ac:dyDescent="0.25">
      <c r="A2036" s="13">
        <v>14394</v>
      </c>
      <c r="B2036" s="14">
        <v>43447.404618055552</v>
      </c>
      <c r="C2036" s="13" t="s">
        <v>10</v>
      </c>
      <c r="D2036" s="13" t="str">
        <f>"PRODOTTI ALIMENTARI"</f>
        <v>PRODOTTI ALIMENTARI</v>
      </c>
      <c r="E2036" s="13" t="str">
        <f>"RICCI SRL - Forniture Alimentari"</f>
        <v>RICCI SRL - Forniture Alimentari</v>
      </c>
      <c r="F2036" s="13" t="s">
        <v>16</v>
      </c>
      <c r="G2036" s="15">
        <v>576.79999999999995</v>
      </c>
    </row>
    <row r="2037" spans="1:7" ht="22.5" x14ac:dyDescent="0.25">
      <c r="A2037" s="13">
        <v>14395</v>
      </c>
      <c r="B2037" s="14">
        <v>43447.404618055552</v>
      </c>
      <c r="C2037" s="13" t="s">
        <v>11</v>
      </c>
      <c r="D2037" s="13" t="str">
        <f>"SPESE POS"</f>
        <v>SPESE POS</v>
      </c>
      <c r="E2037" s="13" t="str">
        <f>"INTESA SANPAOLO SPA"</f>
        <v>INTESA SANPAOLO SPA</v>
      </c>
      <c r="F2037" s="13" t="str">
        <f>"POS Commissioni"</f>
        <v>POS Commissioni</v>
      </c>
      <c r="G2037" s="15">
        <v>4925.38</v>
      </c>
    </row>
    <row r="2038" spans="1:7" ht="22.5" x14ac:dyDescent="0.25">
      <c r="A2038" s="13">
        <v>14396</v>
      </c>
      <c r="B2038" s="14">
        <v>43448.595682870371</v>
      </c>
      <c r="C2038" s="13" t="s">
        <v>11</v>
      </c>
      <c r="D2038" s="13" t="str">
        <f>"CONTRIB.PREV.SU IND.ORG.DIR.E COLLEGIO"</f>
        <v>CONTRIB.PREV.SU IND.ORG.DIR.E COLLEGIO</v>
      </c>
      <c r="E2038" s="13" t="str">
        <f>"INADEL ANNO 2018"</f>
        <v>INADEL ANNO 2018</v>
      </c>
      <c r="F2038" s="13" t="s">
        <v>18</v>
      </c>
      <c r="G2038" s="15">
        <v>38256.519999999997</v>
      </c>
    </row>
    <row r="2039" spans="1:7" ht="33.75" x14ac:dyDescent="0.25">
      <c r="A2039" s="13">
        <v>14397</v>
      </c>
      <c r="B2039" s="14">
        <v>43448.595682870371</v>
      </c>
      <c r="C2039" s="13" t="s">
        <v>11</v>
      </c>
      <c r="D2039" s="13" t="str">
        <f>"CONTRIBUTI OBBLIGATORI PER IL PERSONALE A TEMPO DETERMINATO"</f>
        <v>CONTRIBUTI OBBLIGATORI PER IL PERSONALE A TEMPO DETERMINATO</v>
      </c>
      <c r="E2039" s="13" t="str">
        <f>"INADEL ANNO 2018"</f>
        <v>INADEL ANNO 2018</v>
      </c>
      <c r="F2039" s="13" t="s">
        <v>18</v>
      </c>
      <c r="G2039" s="15">
        <v>49262.12</v>
      </c>
    </row>
    <row r="2040" spans="1:7" ht="33.75" x14ac:dyDescent="0.25">
      <c r="A2040" s="13">
        <v>14398</v>
      </c>
      <c r="B2040" s="14">
        <v>43448.595682870371</v>
      </c>
      <c r="C2040" s="13" t="s">
        <v>11</v>
      </c>
      <c r="D2040" s="13" t="str">
        <f>"CONTRIBUTI OBBLIGATORI PER IL PERSONALE A TEMPO INDETERMINATO"</f>
        <v>CONTRIBUTI OBBLIGATORI PER IL PERSONALE A TEMPO INDETERMINATO</v>
      </c>
      <c r="E2040" s="13" t="str">
        <f>"INADEL ANNO 2018"</f>
        <v>INADEL ANNO 2018</v>
      </c>
      <c r="F2040" s="13" t="s">
        <v>18</v>
      </c>
      <c r="G2040" s="15">
        <v>105962.95</v>
      </c>
    </row>
    <row r="2041" spans="1:7" ht="33.75" x14ac:dyDescent="0.25">
      <c r="A2041" s="13">
        <v>14399</v>
      </c>
      <c r="B2041" s="14">
        <v>43448.595682870371</v>
      </c>
      <c r="C2041" s="13" t="s">
        <v>11</v>
      </c>
      <c r="D2041" s="13" t="str">
        <f>"RITENUTE ERARIALI SU INDENNITÀ A ORGANI ISTITUZIONALI E ALTRI COMPENSI"</f>
        <v>RITENUTE ERARIALI SU INDENNITÀ A ORGANI ISTITUZIONALI E ALTRI COMPENSI</v>
      </c>
      <c r="E2041" s="13" t="str">
        <f>"INADEL ANNO 2018"</f>
        <v>INADEL ANNO 2018</v>
      </c>
      <c r="F2041" s="13" t="s">
        <v>18</v>
      </c>
      <c r="G2041" s="15">
        <v>38203.230000000003</v>
      </c>
    </row>
    <row r="2042" spans="1:7" ht="33.75" x14ac:dyDescent="0.25">
      <c r="A2042" s="13">
        <v>14400</v>
      </c>
      <c r="B2042" s="14">
        <v>43448.595682870371</v>
      </c>
      <c r="C2042" s="13" t="s">
        <v>11</v>
      </c>
      <c r="D2042" s="13" t="str">
        <f>"RITENUTE PREVIDENZIALI E ASSISTENZIALI AL PERSONALE A TEMPO INDETERMINATO"</f>
        <v>RITENUTE PREVIDENZIALI E ASSISTENZIALI AL PERSONALE A TEMPO INDETERMINATO</v>
      </c>
      <c r="E2042" s="13" t="str">
        <f>"INADEL ANNO 2018"</f>
        <v>INADEL ANNO 2018</v>
      </c>
      <c r="F2042" s="13" t="s">
        <v>18</v>
      </c>
      <c r="G2042" s="15">
        <v>61966.99</v>
      </c>
    </row>
    <row r="2043" spans="1:7" ht="22.5" x14ac:dyDescent="0.25">
      <c r="A2043" s="13">
        <v>14401</v>
      </c>
      <c r="B2043" s="14">
        <v>43448.595694444448</v>
      </c>
      <c r="C2043" s="13" t="s">
        <v>11</v>
      </c>
      <c r="D2043" s="13" t="str">
        <f>"CONTRIB.PREV.SU IND.ORG.DIR.E COLLEGIO"</f>
        <v>CONTRIB.PREV.SU IND.ORG.DIR.E COLLEGIO</v>
      </c>
      <c r="E2043" s="13" t="str">
        <f>"CPDEL ANNO 2018"</f>
        <v>CPDEL ANNO 2018</v>
      </c>
      <c r="F2043" s="13" t="s">
        <v>18</v>
      </c>
      <c r="G2043" s="15">
        <v>155202.56</v>
      </c>
    </row>
    <row r="2044" spans="1:7" ht="33.75" x14ac:dyDescent="0.25">
      <c r="A2044" s="13">
        <v>14402</v>
      </c>
      <c r="B2044" s="14">
        <v>43448.595694444448</v>
      </c>
      <c r="C2044" s="13" t="s">
        <v>11</v>
      </c>
      <c r="D2044" s="13" t="str">
        <f>"CONTRIBUTI OBBLIGATORI PER IL PERSONALE A TEMPO DETERMINATO"</f>
        <v>CONTRIBUTI OBBLIGATORI PER IL PERSONALE A TEMPO DETERMINATO</v>
      </c>
      <c r="E2044" s="13" t="str">
        <f>"CPDEL ANNO 2018"</f>
        <v>CPDEL ANNO 2018</v>
      </c>
      <c r="F2044" s="13" t="s">
        <v>18</v>
      </c>
      <c r="G2044" s="15">
        <v>200844.95</v>
      </c>
    </row>
    <row r="2045" spans="1:7" ht="33.75" x14ac:dyDescent="0.25">
      <c r="A2045" s="13">
        <v>14403</v>
      </c>
      <c r="B2045" s="14">
        <v>43448.595694444448</v>
      </c>
      <c r="C2045" s="13" t="s">
        <v>11</v>
      </c>
      <c r="D2045" s="13" t="str">
        <f>"CONTRIBUTI OBBLIGATORI PER IL PERSONALE A TEMPO DETERMINATO"</f>
        <v>CONTRIBUTI OBBLIGATORI PER IL PERSONALE A TEMPO DETERMINATO</v>
      </c>
      <c r="E2045" s="13" t="str">
        <f>"CPS ANNO 2018"</f>
        <v>CPS ANNO 2018</v>
      </c>
      <c r="F2045" s="13" t="s">
        <v>18</v>
      </c>
      <c r="G2045" s="15">
        <v>188143.59</v>
      </c>
    </row>
    <row r="2046" spans="1:7" ht="33.75" x14ac:dyDescent="0.25">
      <c r="A2046" s="13">
        <v>14404</v>
      </c>
      <c r="B2046" s="14">
        <v>43448.595694444448</v>
      </c>
      <c r="C2046" s="13" t="s">
        <v>11</v>
      </c>
      <c r="D2046" s="13" t="str">
        <f>"CONTRIBUTI OBBLIGATORI PER IL PERSONALE A TEMPO INDETERMINATO"</f>
        <v>CONTRIBUTI OBBLIGATORI PER IL PERSONALE A TEMPO INDETERMINATO</v>
      </c>
      <c r="E2046" s="13" t="str">
        <f>"CPDEL ANNO 2018"</f>
        <v>CPDEL ANNO 2018</v>
      </c>
      <c r="F2046" s="13" t="s">
        <v>18</v>
      </c>
      <c r="G2046" s="15">
        <v>350781.44</v>
      </c>
    </row>
    <row r="2047" spans="1:7" ht="33.75" x14ac:dyDescent="0.25">
      <c r="A2047" s="13">
        <v>14405</v>
      </c>
      <c r="B2047" s="14">
        <v>43448.595694444448</v>
      </c>
      <c r="C2047" s="13" t="s">
        <v>11</v>
      </c>
      <c r="D2047" s="13" t="str">
        <f>"CONTRIBUTI OBBLIGATORI PER IL PERSONALE A TEMPO INDETERMINATO"</f>
        <v>CONTRIBUTI OBBLIGATORI PER IL PERSONALE A TEMPO INDETERMINATO</v>
      </c>
      <c r="E2047" s="13" t="str">
        <f>"CPS ANNO 2018"</f>
        <v>CPS ANNO 2018</v>
      </c>
      <c r="F2047" s="13" t="s">
        <v>18</v>
      </c>
      <c r="G2047" s="15">
        <v>395276.29</v>
      </c>
    </row>
    <row r="2048" spans="1:7" ht="33.75" x14ac:dyDescent="0.25">
      <c r="A2048" s="13">
        <v>14406</v>
      </c>
      <c r="B2048" s="14">
        <v>43448.595694444448</v>
      </c>
      <c r="C2048" s="13" t="s">
        <v>11</v>
      </c>
      <c r="D2048" s="13" t="str">
        <f>"CONTRIBUTI OBBLIGATORI PER IL PERSONALE A TEMPO INDETERMINATO"</f>
        <v>CONTRIBUTI OBBLIGATORI PER IL PERSONALE A TEMPO INDETERMINATO</v>
      </c>
      <c r="E2048" s="13" t="str">
        <f>"FONDO CREDITO CPS-CPDEL"</f>
        <v>FONDO CREDITO CPS-CPDEL</v>
      </c>
      <c r="F2048" s="13" t="s">
        <v>18</v>
      </c>
      <c r="G2048" s="15">
        <v>4522.3</v>
      </c>
    </row>
    <row r="2049" spans="1:7" ht="33.75" x14ac:dyDescent="0.25">
      <c r="A2049" s="13">
        <v>14407</v>
      </c>
      <c r="B2049" s="14">
        <v>43448.595694444448</v>
      </c>
      <c r="C2049" s="13" t="s">
        <v>11</v>
      </c>
      <c r="D2049" s="13" t="str">
        <f>"RITENUTE ERARIALI SU INDENNITÀ A ORGANI ISTITUZIONALI E ALTRI COMPENSI"</f>
        <v>RITENUTE ERARIALI SU INDENNITÀ A ORGANI ISTITUZIONALI E ALTRI COMPENSI</v>
      </c>
      <c r="E2049" s="13" t="str">
        <f>"CPDEL ANNO 2018"</f>
        <v>CPDEL ANNO 2018</v>
      </c>
      <c r="F2049" s="13" t="s">
        <v>18</v>
      </c>
      <c r="G2049" s="15">
        <v>153363.39000000001</v>
      </c>
    </row>
    <row r="2050" spans="1:7" ht="33.75" x14ac:dyDescent="0.25">
      <c r="A2050" s="13">
        <v>14408</v>
      </c>
      <c r="B2050" s="14">
        <v>43448.595694444448</v>
      </c>
      <c r="C2050" s="13" t="s">
        <v>11</v>
      </c>
      <c r="D2050" s="13" t="str">
        <f>"RITENUTE ERARIALI SU INDENNITÀ A ORGANI ISTITUZIONALI E ALTRI COMPENSI"</f>
        <v>RITENUTE ERARIALI SU INDENNITÀ A ORGANI ISTITUZIONALI E ALTRI COMPENSI</v>
      </c>
      <c r="E2050" s="13" t="str">
        <f>"FONDO CREDITO CPS-CPDEL"</f>
        <v>FONDO CREDITO CPS-CPDEL</v>
      </c>
      <c r="F2050" s="13" t="s">
        <v>18</v>
      </c>
      <c r="G2050" s="15">
        <v>4416.01</v>
      </c>
    </row>
    <row r="2051" spans="1:7" ht="33.75" x14ac:dyDescent="0.25">
      <c r="A2051" s="13">
        <v>14409</v>
      </c>
      <c r="B2051" s="14">
        <v>43448.595694444448</v>
      </c>
      <c r="C2051" s="13" t="s">
        <v>11</v>
      </c>
      <c r="D2051" s="13" t="str">
        <f>"RITENUTE PREVIDENZIALI E ASSISTENZIALI AL PERSONALE A TEMPO DETERMINATO"</f>
        <v>RITENUTE PREVIDENZIALI E ASSISTENZIALI AL PERSONALE A TEMPO DETERMINATO</v>
      </c>
      <c r="E2051" s="13" t="str">
        <f>"CPDEL ANNO 2018"</f>
        <v>CPDEL ANNO 2018</v>
      </c>
      <c r="F2051" s="13" t="s">
        <v>18</v>
      </c>
      <c r="G2051" s="15">
        <v>170244.62</v>
      </c>
    </row>
    <row r="2052" spans="1:7" ht="33.75" x14ac:dyDescent="0.25">
      <c r="A2052" s="13">
        <v>14410</v>
      </c>
      <c r="B2052" s="14">
        <v>43448.595694444448</v>
      </c>
      <c r="C2052" s="13" t="s">
        <v>11</v>
      </c>
      <c r="D2052" s="13" t="str">
        <f>"RITENUTE PREVIDENZIALI E ASSISTENZIALI AL PERSONALE A TEMPO DETERMINATO"</f>
        <v>RITENUTE PREVIDENZIALI E ASSISTENZIALI AL PERSONALE A TEMPO DETERMINATO</v>
      </c>
      <c r="E2052" s="13" t="str">
        <f>"CPS ANNO 2018"</f>
        <v>CPS ANNO 2018</v>
      </c>
      <c r="F2052" s="13" t="s">
        <v>18</v>
      </c>
      <c r="G2052" s="15">
        <v>185321.95</v>
      </c>
    </row>
    <row r="2053" spans="1:7" ht="33.75" x14ac:dyDescent="0.25">
      <c r="A2053" s="13">
        <v>14411</v>
      </c>
      <c r="B2053" s="14">
        <v>43448.595694444448</v>
      </c>
      <c r="C2053" s="13" t="s">
        <v>11</v>
      </c>
      <c r="D2053" s="13" t="str">
        <f>"RITENUTE PREVIDENZIALI E ASSISTENZIALI AL PERSONALE A TEMPO DETERMINATO"</f>
        <v>RITENUTE PREVIDENZIALI E ASSISTENZIALI AL PERSONALE A TEMPO DETERMINATO</v>
      </c>
      <c r="E2053" s="13" t="str">
        <f>"FONDO CREDITO CPS-CPDEL"</f>
        <v>FONDO CREDITO CPS-CPDEL</v>
      </c>
      <c r="F2053" s="13" t="s">
        <v>18</v>
      </c>
      <c r="G2053" s="15">
        <v>6226.01</v>
      </c>
    </row>
    <row r="2054" spans="1:7" ht="33.75" x14ac:dyDescent="0.25">
      <c r="A2054" s="13">
        <v>14412</v>
      </c>
      <c r="B2054" s="14">
        <v>43448.595694444448</v>
      </c>
      <c r="C2054" s="13" t="s">
        <v>11</v>
      </c>
      <c r="D2054" s="13" t="str">
        <f>"RITENUTE PREVIDENZIALI E ASSISTENZIALI AL PERSONALE A TEMPO INDETERMINATO"</f>
        <v>RITENUTE PREVIDENZIALI E ASSISTENZIALI AL PERSONALE A TEMPO INDETERMINATO</v>
      </c>
      <c r="E2054" s="13" t="str">
        <f>"CPDEL ANNO 2018"</f>
        <v>CPDEL ANNO 2018</v>
      </c>
      <c r="F2054" s="13" t="s">
        <v>18</v>
      </c>
      <c r="G2054" s="15">
        <v>314873.09999999998</v>
      </c>
    </row>
    <row r="2055" spans="1:7" ht="33.75" x14ac:dyDescent="0.25">
      <c r="A2055" s="13">
        <v>14413</v>
      </c>
      <c r="B2055" s="14">
        <v>43448.595694444448</v>
      </c>
      <c r="C2055" s="13" t="s">
        <v>11</v>
      </c>
      <c r="D2055" s="13" t="str">
        <f>"RITENUTE PREVIDENZIALI E ASSISTENZIALI AL PERSONALE A TEMPO INDETERMINATO"</f>
        <v>RITENUTE PREVIDENZIALI E ASSISTENZIALI AL PERSONALE A TEMPO INDETERMINATO</v>
      </c>
      <c r="E2055" s="13" t="str">
        <f>"CPS ANNO 2018"</f>
        <v>CPS ANNO 2018</v>
      </c>
      <c r="F2055" s="13" t="s">
        <v>18</v>
      </c>
      <c r="G2055" s="15">
        <v>246360.9</v>
      </c>
    </row>
    <row r="2056" spans="1:7" ht="33.75" x14ac:dyDescent="0.25">
      <c r="A2056" s="13">
        <v>14414</v>
      </c>
      <c r="B2056" s="14">
        <v>43448.595694444448</v>
      </c>
      <c r="C2056" s="13" t="s">
        <v>11</v>
      </c>
      <c r="D2056" s="13" t="str">
        <f>"RITENUTE PREVIDENZIALI E ASSISTENZIALI AL PERSONALE A TEMPO INDETERMINATO"</f>
        <v>RITENUTE PREVIDENZIALI E ASSISTENZIALI AL PERSONALE A TEMPO INDETERMINATO</v>
      </c>
      <c r="E2056" s="13" t="str">
        <f>"FONDO CREDITO CPS-CPDEL"</f>
        <v>FONDO CREDITO CPS-CPDEL</v>
      </c>
      <c r="F2056" s="13" t="s">
        <v>18</v>
      </c>
      <c r="G2056" s="15">
        <v>9931.91</v>
      </c>
    </row>
    <row r="2057" spans="1:7" ht="22.5" x14ac:dyDescent="0.25">
      <c r="A2057" s="13">
        <v>14415</v>
      </c>
      <c r="B2057" s="14">
        <v>43452.548252314817</v>
      </c>
      <c r="C2057" s="13" t="s">
        <v>10</v>
      </c>
      <c r="D2057" s="13" t="str">
        <f>"FARMACI FILE F"</f>
        <v>FARMACI FILE F</v>
      </c>
      <c r="E2057" s="13" t="str">
        <f>"NOVARTIS FARMA SPA con Socio Unico"</f>
        <v>NOVARTIS FARMA SPA con Socio Unico</v>
      </c>
      <c r="F2057" s="13" t="s">
        <v>14</v>
      </c>
      <c r="G2057" s="15">
        <v>919.2</v>
      </c>
    </row>
    <row r="2058" spans="1:7" ht="33.75" x14ac:dyDescent="0.25">
      <c r="A2058" s="13">
        <v>14416</v>
      </c>
      <c r="B2058" s="14">
        <v>43452.548263888886</v>
      </c>
      <c r="C2058" s="13" t="s">
        <v>10</v>
      </c>
      <c r="D2058" s="13" t="str">
        <f>"PRESIDI MEDICO-CHIRURGICI GENERICI E AUSILI TECNICI PER DISABILI T"</f>
        <v>PRESIDI MEDICO-CHIRURGICI GENERICI E AUSILI TECNICI PER DISABILI T</v>
      </c>
      <c r="E2058" s="13" t="str">
        <f>"NACATUR INTERNATIONAL IMPORT-EXPORT SRL"</f>
        <v>NACATUR INTERNATIONAL IMPORT-EXPORT SRL</v>
      </c>
      <c r="F2058" s="13" t="s">
        <v>14</v>
      </c>
      <c r="G2058" s="15">
        <v>1630</v>
      </c>
    </row>
    <row r="2059" spans="1:7" ht="22.5" x14ac:dyDescent="0.25">
      <c r="A2059" s="13">
        <v>14417</v>
      </c>
      <c r="B2059" s="14">
        <v>43452.548263888886</v>
      </c>
      <c r="C2059" s="13" t="s">
        <v>10</v>
      </c>
      <c r="D2059" s="13" t="str">
        <f>"PRODOTTI FARMACEUTICI CON AIC"</f>
        <v>PRODOTTI FARMACEUTICI CON AIC</v>
      </c>
      <c r="E2059" s="13" t="str">
        <f>"MSD ITALIA SRL"</f>
        <v>MSD ITALIA SRL</v>
      </c>
      <c r="F2059" s="13" t="s">
        <v>14</v>
      </c>
      <c r="G2059" s="15">
        <v>70.95</v>
      </c>
    </row>
    <row r="2060" spans="1:7" ht="22.5" x14ac:dyDescent="0.25">
      <c r="A2060" s="13">
        <v>14418</v>
      </c>
      <c r="B2060" s="14">
        <v>43452.548275462963</v>
      </c>
      <c r="C2060" s="13" t="s">
        <v>10</v>
      </c>
      <c r="D2060" s="13" t="str">
        <f>"FARMACI FILE F"</f>
        <v>FARMACI FILE F</v>
      </c>
      <c r="E2060" s="13" t="str">
        <f>"ABBVIE SRL a Socio Unico"</f>
        <v>ABBVIE SRL a Socio Unico</v>
      </c>
      <c r="F2060" s="13" t="s">
        <v>14</v>
      </c>
      <c r="G2060" s="15">
        <v>18360.419999999998</v>
      </c>
    </row>
    <row r="2061" spans="1:7" ht="22.5" x14ac:dyDescent="0.25">
      <c r="A2061" s="13">
        <v>14419</v>
      </c>
      <c r="B2061" s="14">
        <v>43452.548275462963</v>
      </c>
      <c r="C2061" s="13" t="s">
        <v>10</v>
      </c>
      <c r="D2061" s="13" t="str">
        <f>"FARMACI FILE F"</f>
        <v>FARMACI FILE F</v>
      </c>
      <c r="E2061" s="13" t="str">
        <f>"ABBVIE SRL a Socio Unico"</f>
        <v>ABBVIE SRL a Socio Unico</v>
      </c>
      <c r="F2061" s="13" t="s">
        <v>14</v>
      </c>
      <c r="G2061" s="15">
        <v>80796.320000000007</v>
      </c>
    </row>
    <row r="2062" spans="1:7" ht="22.5" x14ac:dyDescent="0.25">
      <c r="A2062" s="13">
        <v>14420</v>
      </c>
      <c r="B2062" s="14">
        <v>43452.548275462963</v>
      </c>
      <c r="C2062" s="13" t="s">
        <v>10</v>
      </c>
      <c r="D2062" s="13" t="str">
        <f>"FARMACI FILE F"</f>
        <v>FARMACI FILE F</v>
      </c>
      <c r="E2062" s="13" t="str">
        <f>"ABBVIE SRL a Socio Unico"</f>
        <v>ABBVIE SRL a Socio Unico</v>
      </c>
      <c r="F2062" s="13" t="s">
        <v>14</v>
      </c>
      <c r="G2062" s="15">
        <v>62720</v>
      </c>
    </row>
    <row r="2063" spans="1:7" ht="22.5" x14ac:dyDescent="0.25">
      <c r="A2063" s="13">
        <v>14421</v>
      </c>
      <c r="B2063" s="14">
        <v>43452.548275462963</v>
      </c>
      <c r="C2063" s="13" t="s">
        <v>11</v>
      </c>
      <c r="D2063" s="13" t="str">
        <f>"MANUTENZIONE ALTRI BENI ST"</f>
        <v>MANUTENZIONE ALTRI BENI ST</v>
      </c>
      <c r="E2063" s="13" t="str">
        <f>"A CIRCLE SPA"</f>
        <v>A CIRCLE SPA</v>
      </c>
      <c r="F2063" s="13" t="s">
        <v>22</v>
      </c>
      <c r="G2063" s="15">
        <v>2720</v>
      </c>
    </row>
    <row r="2064" spans="1:7" ht="22.5" x14ac:dyDescent="0.25">
      <c r="A2064" s="13">
        <v>14422</v>
      </c>
      <c r="B2064" s="14">
        <v>43452.548275462963</v>
      </c>
      <c r="C2064" s="13" t="s">
        <v>11</v>
      </c>
      <c r="D2064" s="13" t="str">
        <f>"MANUTENZIONE ALTRI BENI ST"</f>
        <v>MANUTENZIONE ALTRI BENI ST</v>
      </c>
      <c r="E2064" s="13" t="str">
        <f>"A E G MULTISERVICE SRL"</f>
        <v>A E G MULTISERVICE SRL</v>
      </c>
      <c r="F2064" s="13" t="s">
        <v>22</v>
      </c>
      <c r="G2064" s="15">
        <v>6456.91</v>
      </c>
    </row>
    <row r="2065" spans="1:7" ht="22.5" x14ac:dyDescent="0.25">
      <c r="A2065" s="13">
        <v>14423</v>
      </c>
      <c r="B2065" s="14">
        <v>43452.548275462963</v>
      </c>
      <c r="C2065" s="13" t="s">
        <v>10</v>
      </c>
      <c r="D2065" s="13" t="str">
        <f>"PRODOTTI FARMACEUTICI CON AIC"</f>
        <v>PRODOTTI FARMACEUTICI CON AIC</v>
      </c>
      <c r="E2065" s="13" t="str">
        <f>"ACCORD HEALTHCARE ITALIA SRL"</f>
        <v>ACCORD HEALTHCARE ITALIA SRL</v>
      </c>
      <c r="F2065" s="13" t="s">
        <v>14</v>
      </c>
      <c r="G2065" s="15">
        <v>181.8</v>
      </c>
    </row>
    <row r="2066" spans="1:7" ht="22.5" x14ac:dyDescent="0.25">
      <c r="A2066" s="13">
        <v>14424</v>
      </c>
      <c r="B2066" s="14">
        <v>43452.548275462963</v>
      </c>
      <c r="C2066" s="13" t="s">
        <v>10</v>
      </c>
      <c r="D2066" s="13" t="str">
        <f>"PRODOTTI FARMACEUTICI CON AIC"</f>
        <v>PRODOTTI FARMACEUTICI CON AIC</v>
      </c>
      <c r="E2066" s="13" t="str">
        <f>"ACCORD HEALTHCARE ITALIA SRL"</f>
        <v>ACCORD HEALTHCARE ITALIA SRL</v>
      </c>
      <c r="F2066" s="13" t="s">
        <v>14</v>
      </c>
      <c r="G2066" s="15">
        <v>60.6</v>
      </c>
    </row>
    <row r="2067" spans="1:7" ht="22.5" x14ac:dyDescent="0.25">
      <c r="A2067" s="13">
        <v>14425</v>
      </c>
      <c r="B2067" s="14">
        <v>43452.548275462963</v>
      </c>
      <c r="C2067" s="13" t="s">
        <v>10</v>
      </c>
      <c r="D2067" s="13" t="str">
        <f>"PRODOTTI FARMACEUTICI CON AIC"</f>
        <v>PRODOTTI FARMACEUTICI CON AIC</v>
      </c>
      <c r="E2067" s="13" t="str">
        <f>"NEOPHARMED GENTILI SPA"</f>
        <v>NEOPHARMED GENTILI SPA</v>
      </c>
      <c r="F2067" s="13" t="s">
        <v>14</v>
      </c>
      <c r="G2067" s="15">
        <v>96.42</v>
      </c>
    </row>
    <row r="2068" spans="1:7" ht="22.5" x14ac:dyDescent="0.25">
      <c r="A2068" s="13">
        <v>14426</v>
      </c>
      <c r="B2068" s="14">
        <v>43452.548275462963</v>
      </c>
      <c r="C2068" s="13" t="s">
        <v>10</v>
      </c>
      <c r="D2068" s="13" t="str">
        <f>"PRODOTTI FARMACEUTICI CON AIC"</f>
        <v>PRODOTTI FARMACEUTICI CON AIC</v>
      </c>
      <c r="E2068" s="13" t="str">
        <f>"NORGINE ITALIA SRL"</f>
        <v>NORGINE ITALIA SRL</v>
      </c>
      <c r="F2068" s="13" t="s">
        <v>14</v>
      </c>
      <c r="G2068" s="15">
        <v>190.8</v>
      </c>
    </row>
    <row r="2069" spans="1:7" ht="22.5" x14ac:dyDescent="0.25">
      <c r="A2069" s="13">
        <v>14427</v>
      </c>
      <c r="B2069" s="14">
        <v>43452.548275462963</v>
      </c>
      <c r="C2069" s="13" t="s">
        <v>10</v>
      </c>
      <c r="D2069" s="13" t="str">
        <f>"SERVIZIO LAVANDERIA NON APPALTATO"</f>
        <v>SERVIZIO LAVANDERIA NON APPALTATO</v>
      </c>
      <c r="E2069" s="13" t="str">
        <f>"A.T.A. IMBOTTITI"</f>
        <v>A.T.A. IMBOTTITI</v>
      </c>
      <c r="F2069" s="13" t="s">
        <v>14</v>
      </c>
      <c r="G2069" s="15">
        <v>740.81</v>
      </c>
    </row>
    <row r="2070" spans="1:7" ht="22.5" x14ac:dyDescent="0.25">
      <c r="A2070" s="13">
        <v>14428</v>
      </c>
      <c r="B2070" s="14">
        <v>43452.548275462963</v>
      </c>
      <c r="C2070" s="13" t="s">
        <v>10</v>
      </c>
      <c r="D2070" s="13" t="str">
        <f>"SERVIZIO LAVANDERIA NON APPALTATO"</f>
        <v>SERVIZIO LAVANDERIA NON APPALTATO</v>
      </c>
      <c r="E2070" s="13" t="str">
        <f>"A.T.A. IMBOTTITI"</f>
        <v>A.T.A. IMBOTTITI</v>
      </c>
      <c r="F2070" s="13" t="s">
        <v>14</v>
      </c>
      <c r="G2070" s="15">
        <v>411.6</v>
      </c>
    </row>
    <row r="2071" spans="1:7" ht="22.5" x14ac:dyDescent="0.25">
      <c r="A2071" s="13">
        <v>14429</v>
      </c>
      <c r="B2071" s="14">
        <v>43452.54828703704</v>
      </c>
      <c r="C2071" s="13" t="s">
        <v>10</v>
      </c>
      <c r="D2071" s="13" t="str">
        <f>"FARMACI FILE F"</f>
        <v>FARMACI FILE F</v>
      </c>
      <c r="E2071" s="13" t="str">
        <f>"ACTELION PHARMACEUTICALS ITALIA SRL  Societa Unipersonale"</f>
        <v>ACTELION PHARMACEUTICALS ITALIA SRL  Societa Unipersonale</v>
      </c>
      <c r="F2071" s="13" t="s">
        <v>14</v>
      </c>
      <c r="G2071" s="15">
        <v>4158.83</v>
      </c>
    </row>
    <row r="2072" spans="1:7" ht="22.5" x14ac:dyDescent="0.25">
      <c r="A2072" s="13">
        <v>14430</v>
      </c>
      <c r="B2072" s="14">
        <v>43452.54828703704</v>
      </c>
      <c r="C2072" s="13" t="s">
        <v>10</v>
      </c>
      <c r="D2072" s="13" t="str">
        <f>"MATERIALE PROTESICO"</f>
        <v>MATERIALE PROTESICO</v>
      </c>
      <c r="E2072" s="13" t="str">
        <f>"ADLER ORTHO SPA"</f>
        <v>ADLER ORTHO SPA</v>
      </c>
      <c r="F2072" s="13" t="s">
        <v>14</v>
      </c>
      <c r="G2072" s="15">
        <v>2543.94</v>
      </c>
    </row>
    <row r="2073" spans="1:7" ht="22.5" x14ac:dyDescent="0.25">
      <c r="A2073" s="13">
        <v>14431</v>
      </c>
      <c r="B2073" s="14">
        <v>43452.54828703704</v>
      </c>
      <c r="C2073" s="13" t="s">
        <v>10</v>
      </c>
      <c r="D2073" s="13" t="str">
        <f>"MATERIALE PROTESICO"</f>
        <v>MATERIALE PROTESICO</v>
      </c>
      <c r="E2073" s="13" t="str">
        <f>"ADLER ORTHO SPA"</f>
        <v>ADLER ORTHO SPA</v>
      </c>
      <c r="F2073" s="13" t="s">
        <v>14</v>
      </c>
      <c r="G2073" s="15">
        <v>466.27</v>
      </c>
    </row>
    <row r="2074" spans="1:7" ht="22.5" x14ac:dyDescent="0.25">
      <c r="A2074" s="13">
        <v>14432</v>
      </c>
      <c r="B2074" s="14">
        <v>43452.54828703704</v>
      </c>
      <c r="C2074" s="13" t="s">
        <v>10</v>
      </c>
      <c r="D2074" s="13" t="str">
        <f>"MATERIALI DI GUARDAROBA E CONVIVENZA"</f>
        <v>MATERIALI DI GUARDAROBA E CONVIVENZA</v>
      </c>
      <c r="E2074" s="13" t="str">
        <f>"ALBERELLI SNC di Michelangelo e Osvaldo Alberelli &amp; C."</f>
        <v>ALBERELLI SNC di Michelangelo e Osvaldo Alberelli &amp; C.</v>
      </c>
      <c r="F2074" s="13" t="s">
        <v>21</v>
      </c>
      <c r="G2074" s="15">
        <v>170.2</v>
      </c>
    </row>
    <row r="2075" spans="1:7" ht="22.5" x14ac:dyDescent="0.25">
      <c r="A2075" s="13">
        <v>14433</v>
      </c>
      <c r="B2075" s="14">
        <v>43452.54828703704</v>
      </c>
      <c r="C2075" s="13" t="s">
        <v>10</v>
      </c>
      <c r="D2075" s="13" t="str">
        <f>"OSSIGENO E GAS MEDICALI"</f>
        <v>OSSIGENO E GAS MEDICALI</v>
      </c>
      <c r="E2075" s="13" t="str">
        <f>"AIR LIQUIDE SANITA SERVICE SPA a Socio Unico"</f>
        <v>AIR LIQUIDE SANITA SERVICE SPA a Socio Unico</v>
      </c>
      <c r="F2075" s="13" t="str">
        <f>"ACQ.BENI SAN.DA ALTRE STR.SANITARIE"</f>
        <v>ACQ.BENI SAN.DA ALTRE STR.SANITARIE</v>
      </c>
      <c r="G2075" s="15">
        <v>36.15</v>
      </c>
    </row>
    <row r="2076" spans="1:7" ht="33.75" x14ac:dyDescent="0.25">
      <c r="A2076" s="13">
        <v>14434</v>
      </c>
      <c r="B2076" s="14">
        <v>43452.54828703704</v>
      </c>
      <c r="C2076" s="13" t="s">
        <v>10</v>
      </c>
      <c r="D2076" s="13" t="str">
        <f>"PRESIDI MEDICO-CHIRURGICI GENERICI E AUSILI TECNICI PER DISABILI T"</f>
        <v>PRESIDI MEDICO-CHIRURGICI GENERICI E AUSILI TECNICI PER DISABILI T</v>
      </c>
      <c r="E2076" s="13" t="str">
        <f>"AGSA GOMMA SRL"</f>
        <v>AGSA GOMMA SRL</v>
      </c>
      <c r="F2076" s="13" t="s">
        <v>14</v>
      </c>
      <c r="G2076" s="15">
        <v>965.7</v>
      </c>
    </row>
    <row r="2077" spans="1:7" ht="22.5" x14ac:dyDescent="0.25">
      <c r="A2077" s="13">
        <v>14435</v>
      </c>
      <c r="B2077" s="14">
        <v>43452.54828703704</v>
      </c>
      <c r="C2077" s="13" t="s">
        <v>10</v>
      </c>
      <c r="D2077" s="13" t="str">
        <f>"PRESIDI MEDICO-CHIRURGICI SPECIALISTICI R"</f>
        <v>PRESIDI MEDICO-CHIRURGICI SPECIALISTICI R</v>
      </c>
      <c r="E2077" s="13" t="str">
        <f>"AMBU SRL"</f>
        <v>AMBU SRL</v>
      </c>
      <c r="F2077" s="13" t="s">
        <v>14</v>
      </c>
      <c r="G2077" s="15">
        <v>195</v>
      </c>
    </row>
    <row r="2078" spans="1:7" ht="22.5" x14ac:dyDescent="0.25">
      <c r="A2078" s="13">
        <v>14436</v>
      </c>
      <c r="B2078" s="14">
        <v>43452.54828703704</v>
      </c>
      <c r="C2078" s="13" t="s">
        <v>10</v>
      </c>
      <c r="D2078" s="13" t="str">
        <f>"PRESIDI MEDICO-CHIRURGICI SPECIALISTICI R"</f>
        <v>PRESIDI MEDICO-CHIRURGICI SPECIALISTICI R</v>
      </c>
      <c r="E2078" s="13" t="str">
        <f>"AMBU SRL"</f>
        <v>AMBU SRL</v>
      </c>
      <c r="F2078" s="13" t="s">
        <v>14</v>
      </c>
      <c r="G2078" s="15">
        <v>130</v>
      </c>
    </row>
    <row r="2079" spans="1:7" ht="22.5" x14ac:dyDescent="0.25">
      <c r="A2079" s="13">
        <v>14437</v>
      </c>
      <c r="B2079" s="14">
        <v>43452.54828703704</v>
      </c>
      <c r="C2079" s="13" t="s">
        <v>10</v>
      </c>
      <c r="D2079" s="13" t="str">
        <f>"PRODOTTI FARMACEUTICI CON AIC"</f>
        <v>PRODOTTI FARMACEUTICI CON AIC</v>
      </c>
      <c r="E2079" s="13" t="str">
        <f>"AIESI HOSPITAL SERVICE SAS"</f>
        <v>AIESI HOSPITAL SERVICE SAS</v>
      </c>
      <c r="F2079" s="13" t="s">
        <v>14</v>
      </c>
      <c r="G2079" s="15">
        <v>486</v>
      </c>
    </row>
    <row r="2080" spans="1:7" ht="22.5" x14ac:dyDescent="0.25">
      <c r="A2080" s="13">
        <v>14438</v>
      </c>
      <c r="B2080" s="14">
        <v>43452.54828703704</v>
      </c>
      <c r="C2080" s="13" t="s">
        <v>10</v>
      </c>
      <c r="D2080" s="13" t="str">
        <f>"PRODOTTI FARMACEUTICI CON AIC"</f>
        <v>PRODOTTI FARMACEUTICI CON AIC</v>
      </c>
      <c r="E2080" s="13" t="str">
        <f>"ALFASIGMA SPA"</f>
        <v>ALFASIGMA SPA</v>
      </c>
      <c r="F2080" s="13" t="s">
        <v>14</v>
      </c>
      <c r="G2080" s="15">
        <v>329.59</v>
      </c>
    </row>
    <row r="2081" spans="1:7" ht="22.5" x14ac:dyDescent="0.25">
      <c r="A2081" s="13">
        <v>14439</v>
      </c>
      <c r="B2081" s="14">
        <v>43452.54828703704</v>
      </c>
      <c r="C2081" s="13" t="s">
        <v>10</v>
      </c>
      <c r="D2081" s="13" t="str">
        <f>"PRODOTTI FARMACEUTICI CON AIC"</f>
        <v>PRODOTTI FARMACEUTICI CON AIC</v>
      </c>
      <c r="E2081" s="13" t="str">
        <f>"ALLOGA (ITALIA) SRL"</f>
        <v>ALLOGA (ITALIA) SRL</v>
      </c>
      <c r="F2081" s="13" t="s">
        <v>14</v>
      </c>
      <c r="G2081" s="15">
        <v>900</v>
      </c>
    </row>
    <row r="2082" spans="1:7" ht="33.75" x14ac:dyDescent="0.25">
      <c r="A2082" s="13">
        <v>14440</v>
      </c>
      <c r="B2082" s="14">
        <v>43452.548298611109</v>
      </c>
      <c r="C2082" s="13" t="s">
        <v>10</v>
      </c>
      <c r="D2082" s="13" t="str">
        <f>"APP.RE SANITARIE E RELATIVI COMPONENTI ACCESSORI E MATERIALE RADIOGRAFICO (Z)"</f>
        <v>APP.RE SANITARIE E RELATIVI COMPONENTI ACCESSORI E MATERIALE RADIOGRAFICO (Z)</v>
      </c>
      <c r="E2082" s="13" t="str">
        <f t="shared" ref="E2082:E2092" si="154">"ARTHREX ITALIA SRL"</f>
        <v>ARTHREX ITALIA SRL</v>
      </c>
      <c r="F2082" s="13" t="s">
        <v>14</v>
      </c>
      <c r="G2082" s="15">
        <v>83</v>
      </c>
    </row>
    <row r="2083" spans="1:7" ht="22.5" x14ac:dyDescent="0.25">
      <c r="A2083" s="13">
        <v>14441</v>
      </c>
      <c r="B2083" s="14">
        <v>43452.548298611109</v>
      </c>
      <c r="C2083" s="13" t="s">
        <v>10</v>
      </c>
      <c r="D2083" s="13" t="str">
        <f>"MATERIALE PROTESICO"</f>
        <v>MATERIALE PROTESICO</v>
      </c>
      <c r="E2083" s="13" t="str">
        <f t="shared" si="154"/>
        <v>ARTHREX ITALIA SRL</v>
      </c>
      <c r="F2083" s="13" t="s">
        <v>14</v>
      </c>
      <c r="G2083" s="15">
        <v>270</v>
      </c>
    </row>
    <row r="2084" spans="1:7" ht="22.5" x14ac:dyDescent="0.25">
      <c r="A2084" s="13">
        <v>14442</v>
      </c>
      <c r="B2084" s="14">
        <v>43452.548298611109</v>
      </c>
      <c r="C2084" s="13" t="s">
        <v>10</v>
      </c>
      <c r="D2084" s="13" t="str">
        <f>"MATERIALE PROTESICO"</f>
        <v>MATERIALE PROTESICO</v>
      </c>
      <c r="E2084" s="13" t="str">
        <f t="shared" si="154"/>
        <v>ARTHREX ITALIA SRL</v>
      </c>
      <c r="F2084" s="13" t="s">
        <v>14</v>
      </c>
      <c r="G2084" s="15">
        <v>410.62</v>
      </c>
    </row>
    <row r="2085" spans="1:7" ht="22.5" x14ac:dyDescent="0.25">
      <c r="A2085" s="13">
        <v>14443</v>
      </c>
      <c r="B2085" s="14">
        <v>43452.548298611109</v>
      </c>
      <c r="C2085" s="13" t="s">
        <v>10</v>
      </c>
      <c r="D2085" s="13" t="str">
        <f>"MATERIALE PROTESICO"</f>
        <v>MATERIALE PROTESICO</v>
      </c>
      <c r="E2085" s="13" t="str">
        <f t="shared" si="154"/>
        <v>ARTHREX ITALIA SRL</v>
      </c>
      <c r="F2085" s="13" t="s">
        <v>14</v>
      </c>
      <c r="G2085" s="15">
        <v>660.96</v>
      </c>
    </row>
    <row r="2086" spans="1:7" ht="22.5" x14ac:dyDescent="0.25">
      <c r="A2086" s="13">
        <v>14444</v>
      </c>
      <c r="B2086" s="14">
        <v>43452.548298611109</v>
      </c>
      <c r="C2086" s="13" t="s">
        <v>10</v>
      </c>
      <c r="D2086" s="13" t="str">
        <f>"MATERIALE PROTESICO"</f>
        <v>MATERIALE PROTESICO</v>
      </c>
      <c r="E2086" s="13" t="str">
        <f t="shared" si="154"/>
        <v>ARTHREX ITALIA SRL</v>
      </c>
      <c r="F2086" s="13" t="s">
        <v>14</v>
      </c>
      <c r="G2086" s="15">
        <v>353.6</v>
      </c>
    </row>
    <row r="2087" spans="1:7" ht="22.5" x14ac:dyDescent="0.25">
      <c r="A2087" s="13">
        <v>14445</v>
      </c>
      <c r="B2087" s="14">
        <v>43452.548298611109</v>
      </c>
      <c r="C2087" s="13" t="s">
        <v>10</v>
      </c>
      <c r="D2087" s="13" t="str">
        <f>"MATERIALE PROTESICO"</f>
        <v>MATERIALE PROTESICO</v>
      </c>
      <c r="E2087" s="13" t="str">
        <f t="shared" si="154"/>
        <v>ARTHREX ITALIA SRL</v>
      </c>
      <c r="F2087" s="13" t="s">
        <v>14</v>
      </c>
      <c r="G2087" s="15">
        <v>869.44</v>
      </c>
    </row>
    <row r="2088" spans="1:7" ht="33.75" x14ac:dyDescent="0.25">
      <c r="A2088" s="13">
        <v>14446</v>
      </c>
      <c r="B2088" s="14">
        <v>43452.548298611109</v>
      </c>
      <c r="C2088" s="13" t="s">
        <v>10</v>
      </c>
      <c r="D2088" s="13" t="str">
        <f>"PRESIDI MEDICO-CHIRURGICI GENERICI E AUSILI TECNICI PER DISABILI H"</f>
        <v>PRESIDI MEDICO-CHIRURGICI GENERICI E AUSILI TECNICI PER DISABILI H</v>
      </c>
      <c r="E2088" s="13" t="str">
        <f t="shared" si="154"/>
        <v>ARTHREX ITALIA SRL</v>
      </c>
      <c r="F2088" s="13" t="s">
        <v>14</v>
      </c>
      <c r="G2088" s="15">
        <v>1036.8</v>
      </c>
    </row>
    <row r="2089" spans="1:7" ht="33.75" x14ac:dyDescent="0.25">
      <c r="A2089" s="13">
        <v>14447</v>
      </c>
      <c r="B2089" s="14">
        <v>43452.548298611109</v>
      </c>
      <c r="C2089" s="13" t="s">
        <v>10</v>
      </c>
      <c r="D2089" s="13" t="str">
        <f>"PRESIDI MEDICO-CHIRURGICI GENERICI E AUSILI TECNICI PER DISABILI H"</f>
        <v>PRESIDI MEDICO-CHIRURGICI GENERICI E AUSILI TECNICI PER DISABILI H</v>
      </c>
      <c r="E2089" s="13" t="str">
        <f t="shared" si="154"/>
        <v>ARTHREX ITALIA SRL</v>
      </c>
      <c r="F2089" s="13" t="s">
        <v>14</v>
      </c>
      <c r="G2089" s="15">
        <v>1337.36</v>
      </c>
    </row>
    <row r="2090" spans="1:7" ht="22.5" x14ac:dyDescent="0.25">
      <c r="A2090" s="13">
        <v>14448</v>
      </c>
      <c r="B2090" s="14">
        <v>43452.548298611109</v>
      </c>
      <c r="C2090" s="13" t="s">
        <v>10</v>
      </c>
      <c r="D2090" s="13" t="str">
        <f>"STRUMENTARIO CHIRURGICO (K, L)"</f>
        <v>STRUMENTARIO CHIRURGICO (K, L)</v>
      </c>
      <c r="E2090" s="13" t="str">
        <f t="shared" si="154"/>
        <v>ARTHREX ITALIA SRL</v>
      </c>
      <c r="F2090" s="13" t="s">
        <v>14</v>
      </c>
      <c r="G2090" s="15">
        <v>6700</v>
      </c>
    </row>
    <row r="2091" spans="1:7" ht="22.5" x14ac:dyDescent="0.25">
      <c r="A2091" s="13">
        <v>14449</v>
      </c>
      <c r="B2091" s="14">
        <v>43452.548298611109</v>
      </c>
      <c r="C2091" s="13" t="s">
        <v>10</v>
      </c>
      <c r="D2091" s="13" t="str">
        <f>"STRUMENTARIO CHIRURGICO (K, L)"</f>
        <v>STRUMENTARIO CHIRURGICO (K, L)</v>
      </c>
      <c r="E2091" s="13" t="str">
        <f t="shared" si="154"/>
        <v>ARTHREX ITALIA SRL</v>
      </c>
      <c r="F2091" s="13" t="s">
        <v>14</v>
      </c>
      <c r="G2091" s="15">
        <v>1050</v>
      </c>
    </row>
    <row r="2092" spans="1:7" ht="22.5" x14ac:dyDescent="0.25">
      <c r="A2092" s="13">
        <v>14450</v>
      </c>
      <c r="B2092" s="14">
        <v>43452.548298611109</v>
      </c>
      <c r="C2092" s="13" t="s">
        <v>10</v>
      </c>
      <c r="D2092" s="13" t="str">
        <f>"STRUMENTARIO CHIRURGICO (K, L)"</f>
        <v>STRUMENTARIO CHIRURGICO (K, L)</v>
      </c>
      <c r="E2092" s="13" t="str">
        <f t="shared" si="154"/>
        <v>ARTHREX ITALIA SRL</v>
      </c>
      <c r="F2092" s="13" t="s">
        <v>14</v>
      </c>
      <c r="G2092" s="15">
        <v>824.16</v>
      </c>
    </row>
    <row r="2093" spans="1:7" ht="33.75" x14ac:dyDescent="0.25">
      <c r="A2093" s="13">
        <v>14451</v>
      </c>
      <c r="B2093" s="14">
        <v>43452.548310185186</v>
      </c>
      <c r="C2093" s="13" t="s">
        <v>10</v>
      </c>
      <c r="D2093" s="13" t="str">
        <f>"DISPOSITIVI DI SOMMINISTRAZIONE, PRELIEVO E RACCOLTA (CIN A)"</f>
        <v>DISPOSITIVI DI SOMMINISTRAZIONE, PRELIEVO E RACCOLTA (CIN A)</v>
      </c>
      <c r="E2093" s="13" t="str">
        <f>"BENEFIS SRL"</f>
        <v>BENEFIS SRL</v>
      </c>
      <c r="F2093" s="13" t="s">
        <v>14</v>
      </c>
      <c r="G2093" s="15">
        <v>420</v>
      </c>
    </row>
    <row r="2094" spans="1:7" ht="33.75" x14ac:dyDescent="0.25">
      <c r="A2094" s="13">
        <v>14452</v>
      </c>
      <c r="B2094" s="14">
        <v>43452.548310185186</v>
      </c>
      <c r="C2094" s="13" t="s">
        <v>10</v>
      </c>
      <c r="D2094" s="13" t="str">
        <f>"DISPOSITIVI DI SOMMINISTRAZIONE, PRELIEVO E RACCOLTA (CIN A)"</f>
        <v>DISPOSITIVI DI SOMMINISTRAZIONE, PRELIEVO E RACCOLTA (CIN A)</v>
      </c>
      <c r="E2094" s="13" t="str">
        <f>"BENEFIS SRL"</f>
        <v>BENEFIS SRL</v>
      </c>
      <c r="F2094" s="13" t="s">
        <v>14</v>
      </c>
      <c r="G2094" s="15">
        <v>744.96</v>
      </c>
    </row>
    <row r="2095" spans="1:7" ht="22.5" x14ac:dyDescent="0.25">
      <c r="A2095" s="13">
        <v>14453</v>
      </c>
      <c r="B2095" s="14">
        <v>43452.548310185186</v>
      </c>
      <c r="C2095" s="13" t="s">
        <v>10</v>
      </c>
      <c r="D2095" s="13" t="str">
        <f>"MATERIALI DI GUARDAROBA E CONVIVENZA"</f>
        <v>MATERIALI DI GUARDAROBA E CONVIVENZA</v>
      </c>
      <c r="E2095" s="13" t="str">
        <f>"BANDIRALI SRL"</f>
        <v>BANDIRALI SRL</v>
      </c>
      <c r="F2095" s="13" t="s">
        <v>21</v>
      </c>
      <c r="G2095" s="15">
        <v>110.66</v>
      </c>
    </row>
    <row r="2096" spans="1:7" ht="33.75" x14ac:dyDescent="0.25">
      <c r="A2096" s="13">
        <v>14454</v>
      </c>
      <c r="B2096" s="14">
        <v>43452.548310185186</v>
      </c>
      <c r="C2096" s="13" t="s">
        <v>10</v>
      </c>
      <c r="D2096" s="13" t="str">
        <f>"PRESIDI MEDICO-CHIRURGICI GENERICI E AUSILI TECNICI PER DISABILI H"</f>
        <v>PRESIDI MEDICO-CHIRURGICI GENERICI E AUSILI TECNICI PER DISABILI H</v>
      </c>
      <c r="E2096" s="13" t="str">
        <f>"B. BRAUN MILANO SPA a Socio Unico"</f>
        <v>B. BRAUN MILANO SPA a Socio Unico</v>
      </c>
      <c r="F2096" s="13" t="s">
        <v>14</v>
      </c>
      <c r="G2096" s="15">
        <v>856.35</v>
      </c>
    </row>
    <row r="2097" spans="1:7" ht="33.75" x14ac:dyDescent="0.25">
      <c r="A2097" s="13">
        <v>14455</v>
      </c>
      <c r="B2097" s="14">
        <v>43452.548310185186</v>
      </c>
      <c r="C2097" s="13" t="s">
        <v>10</v>
      </c>
      <c r="D2097" s="13" t="str">
        <f>"PRESIDI MEDICO-CHIRURGICI GENERICI E AUSILI TECNICI PER DISABILI M"</f>
        <v>PRESIDI MEDICO-CHIRURGICI GENERICI E AUSILI TECNICI PER DISABILI M</v>
      </c>
      <c r="E2097" s="13" t="str">
        <f>"BETATEX SPA"</f>
        <v>BETATEX SPA</v>
      </c>
      <c r="F2097" s="13" t="s">
        <v>14</v>
      </c>
      <c r="G2097" s="15">
        <v>760</v>
      </c>
    </row>
    <row r="2098" spans="1:7" ht="33.75" x14ac:dyDescent="0.25">
      <c r="A2098" s="13">
        <v>14456</v>
      </c>
      <c r="B2098" s="14">
        <v>43452.548310185186</v>
      </c>
      <c r="C2098" s="13" t="s">
        <v>10</v>
      </c>
      <c r="D2098" s="13" t="str">
        <f>"PRESIDI MEDICO-CHIRURGICI GENERICI E AUSILI TECNICI PER DISABILI M"</f>
        <v>PRESIDI MEDICO-CHIRURGICI GENERICI E AUSILI TECNICI PER DISABILI M</v>
      </c>
      <c r="E2098" s="13" t="str">
        <f>"BETATEX SPA"</f>
        <v>BETATEX SPA</v>
      </c>
      <c r="F2098" s="13" t="s">
        <v>14</v>
      </c>
      <c r="G2098" s="15">
        <v>1305</v>
      </c>
    </row>
    <row r="2099" spans="1:7" ht="33.75" x14ac:dyDescent="0.25">
      <c r="A2099" s="13">
        <v>14457</v>
      </c>
      <c r="B2099" s="14">
        <v>43452.548310185186</v>
      </c>
      <c r="C2099" s="13" t="s">
        <v>10</v>
      </c>
      <c r="D2099" s="13" t="str">
        <f t="shared" ref="D2099:D2108" si="155">"PRESIDI MEDICO-CHIRURGICI GENERICI E AUSILI TECNICI PER DISABILI T"</f>
        <v>PRESIDI MEDICO-CHIRURGICI GENERICI E AUSILI TECNICI PER DISABILI T</v>
      </c>
      <c r="E2099" s="13" t="str">
        <f>"BENEFIS SRL"</f>
        <v>BENEFIS SRL</v>
      </c>
      <c r="F2099" s="13" t="s">
        <v>14</v>
      </c>
      <c r="G2099" s="15">
        <v>237</v>
      </c>
    </row>
    <row r="2100" spans="1:7" ht="33.75" x14ac:dyDescent="0.25">
      <c r="A2100" s="13">
        <v>14458</v>
      </c>
      <c r="B2100" s="14">
        <v>43452.548310185186</v>
      </c>
      <c r="C2100" s="13" t="s">
        <v>10</v>
      </c>
      <c r="D2100" s="13" t="str">
        <f t="shared" si="155"/>
        <v>PRESIDI MEDICO-CHIRURGICI GENERICI E AUSILI TECNICI PER DISABILI T</v>
      </c>
      <c r="E2100" s="13" t="str">
        <f>"BENEFIS SRL"</f>
        <v>BENEFIS SRL</v>
      </c>
      <c r="F2100" s="13" t="s">
        <v>14</v>
      </c>
      <c r="G2100" s="15">
        <v>176</v>
      </c>
    </row>
    <row r="2101" spans="1:7" ht="33.75" x14ac:dyDescent="0.25">
      <c r="A2101" s="13">
        <v>14459</v>
      </c>
      <c r="B2101" s="14">
        <v>43452.548310185186</v>
      </c>
      <c r="C2101" s="13" t="s">
        <v>10</v>
      </c>
      <c r="D2101" s="13" t="str">
        <f t="shared" si="155"/>
        <v>PRESIDI MEDICO-CHIRURGICI GENERICI E AUSILI TECNICI PER DISABILI T</v>
      </c>
      <c r="E2101" s="13" t="str">
        <f>"BENEFIS SRL"</f>
        <v>BENEFIS SRL</v>
      </c>
      <c r="F2101" s="13" t="s">
        <v>14</v>
      </c>
      <c r="G2101" s="15">
        <v>268.8</v>
      </c>
    </row>
    <row r="2102" spans="1:7" ht="33.75" x14ac:dyDescent="0.25">
      <c r="A2102" s="13">
        <v>14460</v>
      </c>
      <c r="B2102" s="14">
        <v>43452.548310185186</v>
      </c>
      <c r="C2102" s="13" t="s">
        <v>10</v>
      </c>
      <c r="D2102" s="13" t="str">
        <f t="shared" si="155"/>
        <v>PRESIDI MEDICO-CHIRURGICI GENERICI E AUSILI TECNICI PER DISABILI T</v>
      </c>
      <c r="E2102" s="13" t="str">
        <f t="shared" ref="E2102:E2108" si="156">"BETATEX SPA"</f>
        <v>BETATEX SPA</v>
      </c>
      <c r="F2102" s="13" t="s">
        <v>14</v>
      </c>
      <c r="G2102" s="15">
        <v>6671.45</v>
      </c>
    </row>
    <row r="2103" spans="1:7" ht="33.75" x14ac:dyDescent="0.25">
      <c r="A2103" s="13">
        <v>14461</v>
      </c>
      <c r="B2103" s="14">
        <v>43452.548310185186</v>
      </c>
      <c r="C2103" s="13" t="s">
        <v>10</v>
      </c>
      <c r="D2103" s="13" t="str">
        <f t="shared" si="155"/>
        <v>PRESIDI MEDICO-CHIRURGICI GENERICI E AUSILI TECNICI PER DISABILI T</v>
      </c>
      <c r="E2103" s="13" t="str">
        <f t="shared" si="156"/>
        <v>BETATEX SPA</v>
      </c>
      <c r="F2103" s="13" t="s">
        <v>14</v>
      </c>
      <c r="G2103" s="15">
        <v>622.16999999999996</v>
      </c>
    </row>
    <row r="2104" spans="1:7" ht="33.75" x14ac:dyDescent="0.25">
      <c r="A2104" s="13">
        <v>14462</v>
      </c>
      <c r="B2104" s="14">
        <v>43452.548310185186</v>
      </c>
      <c r="C2104" s="13" t="s">
        <v>10</v>
      </c>
      <c r="D2104" s="13" t="str">
        <f t="shared" si="155"/>
        <v>PRESIDI MEDICO-CHIRURGICI GENERICI E AUSILI TECNICI PER DISABILI T</v>
      </c>
      <c r="E2104" s="13" t="str">
        <f t="shared" si="156"/>
        <v>BETATEX SPA</v>
      </c>
      <c r="F2104" s="13" t="s">
        <v>14</v>
      </c>
      <c r="G2104" s="15">
        <v>-509.6</v>
      </c>
    </row>
    <row r="2105" spans="1:7" ht="33.75" x14ac:dyDescent="0.25">
      <c r="A2105" s="13">
        <v>14463</v>
      </c>
      <c r="B2105" s="14">
        <v>43452.548310185186</v>
      </c>
      <c r="C2105" s="13" t="s">
        <v>10</v>
      </c>
      <c r="D2105" s="13" t="str">
        <f t="shared" si="155"/>
        <v>PRESIDI MEDICO-CHIRURGICI GENERICI E AUSILI TECNICI PER DISABILI T</v>
      </c>
      <c r="E2105" s="13" t="str">
        <f t="shared" si="156"/>
        <v>BETATEX SPA</v>
      </c>
      <c r="F2105" s="13" t="s">
        <v>14</v>
      </c>
      <c r="G2105" s="15">
        <v>4438.1000000000004</v>
      </c>
    </row>
    <row r="2106" spans="1:7" ht="33.75" x14ac:dyDescent="0.25">
      <c r="A2106" s="13">
        <v>14464</v>
      </c>
      <c r="B2106" s="14">
        <v>43452.548310185186</v>
      </c>
      <c r="C2106" s="13" t="s">
        <v>10</v>
      </c>
      <c r="D2106" s="13" t="str">
        <f t="shared" si="155"/>
        <v>PRESIDI MEDICO-CHIRURGICI GENERICI E AUSILI TECNICI PER DISABILI T</v>
      </c>
      <c r="E2106" s="13" t="str">
        <f t="shared" si="156"/>
        <v>BETATEX SPA</v>
      </c>
      <c r="F2106" s="13" t="s">
        <v>14</v>
      </c>
      <c r="G2106" s="15">
        <v>1735.5</v>
      </c>
    </row>
    <row r="2107" spans="1:7" ht="33.75" x14ac:dyDescent="0.25">
      <c r="A2107" s="13">
        <v>14465</v>
      </c>
      <c r="B2107" s="14">
        <v>43452.548310185186</v>
      </c>
      <c r="C2107" s="13" t="s">
        <v>10</v>
      </c>
      <c r="D2107" s="13" t="str">
        <f t="shared" si="155"/>
        <v>PRESIDI MEDICO-CHIRURGICI GENERICI E AUSILI TECNICI PER DISABILI T</v>
      </c>
      <c r="E2107" s="13" t="str">
        <f t="shared" si="156"/>
        <v>BETATEX SPA</v>
      </c>
      <c r="F2107" s="13" t="s">
        <v>14</v>
      </c>
      <c r="G2107" s="15">
        <v>10291.540000000001</v>
      </c>
    </row>
    <row r="2108" spans="1:7" ht="33.75" x14ac:dyDescent="0.25">
      <c r="A2108" s="13">
        <v>14466</v>
      </c>
      <c r="B2108" s="14">
        <v>43452.548310185186</v>
      </c>
      <c r="C2108" s="13" t="s">
        <v>10</v>
      </c>
      <c r="D2108" s="13" t="str">
        <f t="shared" si="155"/>
        <v>PRESIDI MEDICO-CHIRURGICI GENERICI E AUSILI TECNICI PER DISABILI T</v>
      </c>
      <c r="E2108" s="13" t="str">
        <f t="shared" si="156"/>
        <v>BETATEX SPA</v>
      </c>
      <c r="F2108" s="13" t="s">
        <v>14</v>
      </c>
      <c r="G2108" s="15">
        <v>5038</v>
      </c>
    </row>
    <row r="2109" spans="1:7" ht="22.5" x14ac:dyDescent="0.25">
      <c r="A2109" s="13">
        <v>14467</v>
      </c>
      <c r="B2109" s="14">
        <v>43452.548310185186</v>
      </c>
      <c r="C2109" s="13" t="s">
        <v>10</v>
      </c>
      <c r="D2109" s="13" t="str">
        <f>"PRODOTTI FARMACEUTICI CON AIC"</f>
        <v>PRODOTTI FARMACEUTICI CON AIC</v>
      </c>
      <c r="E2109" s="13" t="str">
        <f>"BAXTER SPA"</f>
        <v>BAXTER SPA</v>
      </c>
      <c r="F2109" s="13" t="s">
        <v>14</v>
      </c>
      <c r="G2109" s="15">
        <v>2208.96</v>
      </c>
    </row>
    <row r="2110" spans="1:7" ht="22.5" x14ac:dyDescent="0.25">
      <c r="A2110" s="13">
        <v>14468</v>
      </c>
      <c r="B2110" s="14">
        <v>43452.548310185186</v>
      </c>
      <c r="C2110" s="13" t="s">
        <v>10</v>
      </c>
      <c r="D2110" s="13" t="str">
        <f>"PRODOTTI FARMACEUTICI CON AIC"</f>
        <v>PRODOTTI FARMACEUTICI CON AIC</v>
      </c>
      <c r="E2110" s="13" t="str">
        <f>"BAXTER SPA"</f>
        <v>BAXTER SPA</v>
      </c>
      <c r="F2110" s="13" t="s">
        <v>14</v>
      </c>
      <c r="G2110" s="15">
        <v>1918.83</v>
      </c>
    </row>
    <row r="2111" spans="1:7" ht="22.5" x14ac:dyDescent="0.25">
      <c r="A2111" s="13">
        <v>14469</v>
      </c>
      <c r="B2111" s="14">
        <v>43452.548310185186</v>
      </c>
      <c r="C2111" s="13" t="s">
        <v>10</v>
      </c>
      <c r="D2111" s="13" t="str">
        <f>"PRODOTTI FARMACEUTICI CON AIC"</f>
        <v>PRODOTTI FARMACEUTICI CON AIC</v>
      </c>
      <c r="E2111" s="13" t="str">
        <f>"BAYER SPA Societa Unipersonale"</f>
        <v>BAYER SPA Societa Unipersonale</v>
      </c>
      <c r="F2111" s="13" t="s">
        <v>14</v>
      </c>
      <c r="G2111" s="15">
        <v>453.15</v>
      </c>
    </row>
    <row r="2112" spans="1:7" ht="22.5" x14ac:dyDescent="0.25">
      <c r="A2112" s="13">
        <v>14470</v>
      </c>
      <c r="B2112" s="14">
        <v>43452.548321759263</v>
      </c>
      <c r="C2112" s="13" t="s">
        <v>10</v>
      </c>
      <c r="D2112" s="13" t="str">
        <f>"FARMACI FILE F"</f>
        <v>FARMACI FILE F</v>
      </c>
      <c r="E2112" s="13" t="str">
        <f>"BIOGEN ITALIA SRL"</f>
        <v>BIOGEN ITALIA SRL</v>
      </c>
      <c r="F2112" s="13" t="s">
        <v>14</v>
      </c>
      <c r="G2112" s="15">
        <v>9415.68</v>
      </c>
    </row>
    <row r="2113" spans="1:7" ht="22.5" x14ac:dyDescent="0.25">
      <c r="A2113" s="13">
        <v>14471</v>
      </c>
      <c r="B2113" s="14">
        <v>43452.548321759263</v>
      </c>
      <c r="C2113" s="13" t="s">
        <v>10</v>
      </c>
      <c r="D2113" s="13" t="str">
        <f>"FARMACI FILE F"</f>
        <v>FARMACI FILE F</v>
      </c>
      <c r="E2113" s="13" t="str">
        <f>"BIOGEN ITALIA SRL"</f>
        <v>BIOGEN ITALIA SRL</v>
      </c>
      <c r="F2113" s="13" t="s">
        <v>14</v>
      </c>
      <c r="G2113" s="15">
        <v>10592.64</v>
      </c>
    </row>
    <row r="2114" spans="1:7" ht="22.5" x14ac:dyDescent="0.25">
      <c r="A2114" s="13">
        <v>14472</v>
      </c>
      <c r="B2114" s="14">
        <v>43452.548321759263</v>
      </c>
      <c r="C2114" s="13" t="s">
        <v>10</v>
      </c>
      <c r="D2114" s="13" t="str">
        <f>"FARMACI FILE F"</f>
        <v>FARMACI FILE F</v>
      </c>
      <c r="E2114" s="13" t="str">
        <f>"BIOGEN ITALIA SRL"</f>
        <v>BIOGEN ITALIA SRL</v>
      </c>
      <c r="F2114" s="13" t="s">
        <v>14</v>
      </c>
      <c r="G2114" s="15">
        <v>5884.8</v>
      </c>
    </row>
    <row r="2115" spans="1:7" ht="22.5" x14ac:dyDescent="0.25">
      <c r="A2115" s="13">
        <v>14473</v>
      </c>
      <c r="B2115" s="14">
        <v>43452.548321759263</v>
      </c>
      <c r="C2115" s="13" t="s">
        <v>10</v>
      </c>
      <c r="D2115" s="13" t="str">
        <f>"MATERIALE DIAGNOSTICO (W)"</f>
        <v>MATERIALE DIAGNOSTICO (W)</v>
      </c>
      <c r="E2115" s="13" t="str">
        <f>"BIOMERIEUX ITALIA SPA a Socio Unico"</f>
        <v>BIOMERIEUX ITALIA SPA a Socio Unico</v>
      </c>
      <c r="F2115" s="13" t="s">
        <v>14</v>
      </c>
      <c r="G2115" s="15">
        <v>840</v>
      </c>
    </row>
    <row r="2116" spans="1:7" ht="22.5" x14ac:dyDescent="0.25">
      <c r="A2116" s="13">
        <v>14474</v>
      </c>
      <c r="B2116" s="14">
        <v>43452.548321759263</v>
      </c>
      <c r="C2116" s="13" t="s">
        <v>10</v>
      </c>
      <c r="D2116" s="13" t="str">
        <f>"MATERIALE DIAGNOSTICO (W)"</f>
        <v>MATERIALE DIAGNOSTICO (W)</v>
      </c>
      <c r="E2116" s="13" t="str">
        <f>"BIOSIGMA SRL"</f>
        <v>BIOSIGMA SRL</v>
      </c>
      <c r="F2116" s="13" t="s">
        <v>14</v>
      </c>
      <c r="G2116" s="15">
        <v>106</v>
      </c>
    </row>
    <row r="2117" spans="1:7" ht="22.5" x14ac:dyDescent="0.25">
      <c r="A2117" s="13">
        <v>14475</v>
      </c>
      <c r="B2117" s="14">
        <v>43452.548321759263</v>
      </c>
      <c r="C2117" s="13" t="s">
        <v>10</v>
      </c>
      <c r="D2117" s="13" t="str">
        <f>"MATERIALE PROTESICO"</f>
        <v>MATERIALE PROTESICO</v>
      </c>
      <c r="E2117" s="13" t="str">
        <f>"BIOTIM SRL"</f>
        <v>BIOTIM SRL</v>
      </c>
      <c r="F2117" s="13" t="s">
        <v>14</v>
      </c>
      <c r="G2117" s="15">
        <v>518.4</v>
      </c>
    </row>
    <row r="2118" spans="1:7" ht="33.75" x14ac:dyDescent="0.25">
      <c r="A2118" s="13">
        <v>14476</v>
      </c>
      <c r="B2118" s="14">
        <v>43452.548321759263</v>
      </c>
      <c r="C2118" s="13" t="s">
        <v>10</v>
      </c>
      <c r="D2118" s="13" t="str">
        <f>"PRESIDI MEDICO-CHIRURGICI GENERICI E AUSILI TECNICI PER DISABILI T"</f>
        <v>PRESIDI MEDICO-CHIRURGICI GENERICI E AUSILI TECNICI PER DISABILI T</v>
      </c>
      <c r="E2118" s="13" t="str">
        <f>"BETATEX SPA"</f>
        <v>BETATEX SPA</v>
      </c>
      <c r="F2118" s="13" t="s">
        <v>14</v>
      </c>
      <c r="G2118" s="15">
        <v>225</v>
      </c>
    </row>
    <row r="2119" spans="1:7" ht="33.75" x14ac:dyDescent="0.25">
      <c r="A2119" s="13">
        <v>14477</v>
      </c>
      <c r="B2119" s="14">
        <v>43452.548321759263</v>
      </c>
      <c r="C2119" s="13" t="s">
        <v>10</v>
      </c>
      <c r="D2119" s="13" t="str">
        <f>"PRESIDI MEDICO-CHIRURGICI GENERICI E AUSILI TECNICI PER DISABILI T"</f>
        <v>PRESIDI MEDICO-CHIRURGICI GENERICI E AUSILI TECNICI PER DISABILI T</v>
      </c>
      <c r="E2119" s="13" t="str">
        <f>"BETATEX SPA"</f>
        <v>BETATEX SPA</v>
      </c>
      <c r="F2119" s="13" t="s">
        <v>14</v>
      </c>
      <c r="G2119" s="15">
        <v>1760</v>
      </c>
    </row>
    <row r="2120" spans="1:7" ht="22.5" x14ac:dyDescent="0.25">
      <c r="A2120" s="13">
        <v>14478</v>
      </c>
      <c r="B2120" s="14">
        <v>43452.548321759263</v>
      </c>
      <c r="C2120" s="13" t="s">
        <v>10</v>
      </c>
      <c r="D2120" s="13" t="str">
        <f>"PRODOTTI CHIMICI: MATERIALI DIAGNOSTICI (SENZA CND)"</f>
        <v>PRODOTTI CHIMICI: MATERIALI DIAGNOSTICI (SENZA CND)</v>
      </c>
      <c r="E2120" s="13" t="str">
        <f>"BIO - RAD LABORATORIES SRL"</f>
        <v>BIO - RAD LABORATORIES SRL</v>
      </c>
      <c r="F2120" s="13" t="s">
        <v>14</v>
      </c>
      <c r="G2120" s="15">
        <v>595.20000000000005</v>
      </c>
    </row>
    <row r="2121" spans="1:7" ht="22.5" x14ac:dyDescent="0.25">
      <c r="A2121" s="13">
        <v>14479</v>
      </c>
      <c r="B2121" s="14">
        <v>43452.548321759263</v>
      </c>
      <c r="C2121" s="13" t="s">
        <v>10</v>
      </c>
      <c r="D2121" s="13" t="str">
        <f>"PRODOTTI FARMACEUTICI CON AIC"</f>
        <v>PRODOTTI FARMACEUTICI CON AIC</v>
      </c>
      <c r="E2121" s="13" t="str">
        <f>"BIOINDUSTRIA L.I.M. SPA - LABORATORIO ITALIANO MEDICINALI"</f>
        <v>BIOINDUSTRIA L.I.M. SPA - LABORATORIO ITALIANO MEDICINALI</v>
      </c>
      <c r="F2121" s="13" t="s">
        <v>14</v>
      </c>
      <c r="G2121" s="15">
        <v>1080.2</v>
      </c>
    </row>
    <row r="2122" spans="1:7" ht="22.5" x14ac:dyDescent="0.25">
      <c r="A2122" s="13">
        <v>14480</v>
      </c>
      <c r="B2122" s="14">
        <v>43452.548333333332</v>
      </c>
      <c r="C2122" s="13" t="s">
        <v>10</v>
      </c>
      <c r="D2122" s="13" t="str">
        <f>"CANCELLERIA E SUPPORTI MECCANOGRAFICI"</f>
        <v>CANCELLERIA E SUPPORTI MECCANOGRAFICI</v>
      </c>
      <c r="E2122" s="13" t="str">
        <f>"C. M. FRIGO DI CORVI MORENO"</f>
        <v>C. M. FRIGO DI CORVI MORENO</v>
      </c>
      <c r="F2122" s="13" t="s">
        <v>14</v>
      </c>
      <c r="G2122" s="15">
        <v>90</v>
      </c>
    </row>
    <row r="2123" spans="1:7" ht="22.5" x14ac:dyDescent="0.25">
      <c r="A2123" s="13">
        <v>14481</v>
      </c>
      <c r="B2123" s="14">
        <v>43452.548333333332</v>
      </c>
      <c r="C2123" s="13" t="s">
        <v>10</v>
      </c>
      <c r="D2123" s="13" t="str">
        <f>"FARMACI FILE F"</f>
        <v>FARMACI FILE F</v>
      </c>
      <c r="E2123" s="13" t="str">
        <f>"BRISTOL - MYERS SQUIBB SRL Societa Unipersonale"</f>
        <v>BRISTOL - MYERS SQUIBB SRL Societa Unipersonale</v>
      </c>
      <c r="F2123" s="13" t="s">
        <v>14</v>
      </c>
      <c r="G2123" s="15">
        <v>-958.8</v>
      </c>
    </row>
    <row r="2124" spans="1:7" ht="22.5" x14ac:dyDescent="0.25">
      <c r="A2124" s="13">
        <v>14482</v>
      </c>
      <c r="B2124" s="14">
        <v>43452.548333333332</v>
      </c>
      <c r="C2124" s="13" t="s">
        <v>10</v>
      </c>
      <c r="D2124" s="13" t="str">
        <f>"FARMACI FILE F"</f>
        <v>FARMACI FILE F</v>
      </c>
      <c r="E2124" s="13" t="str">
        <f>"BRISTOL - MYERS SQUIBB SRL Societa Unipersonale"</f>
        <v>BRISTOL - MYERS SQUIBB SRL Societa Unipersonale</v>
      </c>
      <c r="F2124" s="13" t="s">
        <v>14</v>
      </c>
      <c r="G2124" s="15">
        <v>15812.55</v>
      </c>
    </row>
    <row r="2125" spans="1:7" ht="22.5" x14ac:dyDescent="0.25">
      <c r="A2125" s="13">
        <v>14483</v>
      </c>
      <c r="B2125" s="14">
        <v>43452.548333333332</v>
      </c>
      <c r="C2125" s="13" t="s">
        <v>10</v>
      </c>
      <c r="D2125" s="13" t="str">
        <f>"FARMACI FILE F"</f>
        <v>FARMACI FILE F</v>
      </c>
      <c r="E2125" s="13" t="str">
        <f>"BRISTOL - MYERS SQUIBB SRL Societa Unipersonale"</f>
        <v>BRISTOL - MYERS SQUIBB SRL Societa Unipersonale</v>
      </c>
      <c r="F2125" s="13" t="s">
        <v>14</v>
      </c>
      <c r="G2125" s="15">
        <v>-3449.64</v>
      </c>
    </row>
    <row r="2126" spans="1:7" ht="22.5" x14ac:dyDescent="0.25">
      <c r="A2126" s="13">
        <v>14484</v>
      </c>
      <c r="B2126" s="14">
        <v>43452.548333333332</v>
      </c>
      <c r="C2126" s="13" t="s">
        <v>10</v>
      </c>
      <c r="D2126" s="13" t="str">
        <f>"FARMACI FILE F"</f>
        <v>FARMACI FILE F</v>
      </c>
      <c r="E2126" s="13" t="str">
        <f>"CELGENE SRL"</f>
        <v>CELGENE SRL</v>
      </c>
      <c r="F2126" s="13" t="s">
        <v>14</v>
      </c>
      <c r="G2126" s="15">
        <v>1728.48</v>
      </c>
    </row>
    <row r="2127" spans="1:7" ht="22.5" x14ac:dyDescent="0.25">
      <c r="A2127" s="13">
        <v>14485</v>
      </c>
      <c r="B2127" s="14">
        <v>43452.548333333332</v>
      </c>
      <c r="C2127" s="13" t="s">
        <v>10</v>
      </c>
      <c r="D2127" s="13" t="str">
        <f>"FARMACI FILE F"</f>
        <v>FARMACI FILE F</v>
      </c>
      <c r="E2127" s="13" t="str">
        <f>"CELGENE SRL"</f>
        <v>CELGENE SRL</v>
      </c>
      <c r="F2127" s="13" t="s">
        <v>14</v>
      </c>
      <c r="G2127" s="15">
        <v>1152.32</v>
      </c>
    </row>
    <row r="2128" spans="1:7" ht="22.5" x14ac:dyDescent="0.25">
      <c r="A2128" s="13">
        <v>14486</v>
      </c>
      <c r="B2128" s="14">
        <v>43452.548333333332</v>
      </c>
      <c r="C2128" s="13" t="s">
        <v>10</v>
      </c>
      <c r="D2128" s="13" t="str">
        <f>"MATERIALE PROTESICO"</f>
        <v>MATERIALE PROTESICO</v>
      </c>
      <c r="E2128" s="13" t="str">
        <f>"BIOTIM SRL"</f>
        <v>BIOTIM SRL</v>
      </c>
      <c r="F2128" s="13" t="s">
        <v>14</v>
      </c>
      <c r="G2128" s="15">
        <v>194.4</v>
      </c>
    </row>
    <row r="2129" spans="1:7" ht="22.5" x14ac:dyDescent="0.25">
      <c r="A2129" s="13">
        <v>14487</v>
      </c>
      <c r="B2129" s="14">
        <v>43452.548333333332</v>
      </c>
      <c r="C2129" s="13" t="s">
        <v>10</v>
      </c>
      <c r="D2129" s="13" t="str">
        <f>"MATERIALI DI GUARDAROBA E CONVIVENZA"</f>
        <v>MATERIALI DI GUARDAROBA E CONVIVENZA</v>
      </c>
      <c r="E2129" s="13" t="str">
        <f>"BURLODGE SRL"</f>
        <v>BURLODGE SRL</v>
      </c>
      <c r="F2129" s="13" t="s">
        <v>21</v>
      </c>
      <c r="G2129" s="15">
        <v>176.96</v>
      </c>
    </row>
    <row r="2130" spans="1:7" ht="33.75" x14ac:dyDescent="0.25">
      <c r="A2130" s="13">
        <v>14488</v>
      </c>
      <c r="B2130" s="14">
        <v>43452.548333333332</v>
      </c>
      <c r="C2130" s="13" t="s">
        <v>10</v>
      </c>
      <c r="D2130" s="13" t="str">
        <f>"PRESIDI MEDICO-CHIRURGICI GENERICI E AUSILI TECNICI PER DISABILI M"</f>
        <v>PRESIDI MEDICO-CHIRURGICI GENERICI E AUSILI TECNICI PER DISABILI M</v>
      </c>
      <c r="E2130" s="13" t="str">
        <f>"BSN MEDICAL SRL Soc. con Socio Unico"</f>
        <v>BSN MEDICAL SRL Soc. con Socio Unico</v>
      </c>
      <c r="F2130" s="13" t="s">
        <v>14</v>
      </c>
      <c r="G2130" s="15">
        <v>264</v>
      </c>
    </row>
    <row r="2131" spans="1:7" ht="33.75" x14ac:dyDescent="0.25">
      <c r="A2131" s="13">
        <v>14489</v>
      </c>
      <c r="B2131" s="14">
        <v>43452.548333333332</v>
      </c>
      <c r="C2131" s="13" t="s">
        <v>10</v>
      </c>
      <c r="D2131" s="13" t="str">
        <f>"PRESIDI MEDICO-CHIRURGICI GENERICI E AUSILI TECNICI PER DISABILI M"</f>
        <v>PRESIDI MEDICO-CHIRURGICI GENERICI E AUSILI TECNICI PER DISABILI M</v>
      </c>
      <c r="E2131" s="13" t="str">
        <f>"BSN MEDICAL SRL Soc. con Socio Unico"</f>
        <v>BSN MEDICAL SRL Soc. con Socio Unico</v>
      </c>
      <c r="F2131" s="13" t="s">
        <v>14</v>
      </c>
      <c r="G2131" s="15">
        <v>724</v>
      </c>
    </row>
    <row r="2132" spans="1:7" ht="33.75" x14ac:dyDescent="0.25">
      <c r="A2132" s="13">
        <v>14490</v>
      </c>
      <c r="B2132" s="14">
        <v>43452.548333333332</v>
      </c>
      <c r="C2132" s="13" t="s">
        <v>10</v>
      </c>
      <c r="D2132" s="13" t="str">
        <f>"PRESIDI MEDICO-CHIRURGICI GENERICI E AUSILI TECNICI PER DISABILI M"</f>
        <v>PRESIDI MEDICO-CHIRURGICI GENERICI E AUSILI TECNICI PER DISABILI M</v>
      </c>
      <c r="E2132" s="13" t="str">
        <f>"BSN MEDICAL SRL Soc. con Socio Unico"</f>
        <v>BSN MEDICAL SRL Soc. con Socio Unico</v>
      </c>
      <c r="F2132" s="13" t="s">
        <v>14</v>
      </c>
      <c r="G2132" s="15">
        <v>1540</v>
      </c>
    </row>
    <row r="2133" spans="1:7" ht="33.75" x14ac:dyDescent="0.25">
      <c r="A2133" s="13">
        <v>14491</v>
      </c>
      <c r="B2133" s="14">
        <v>43452.548333333332</v>
      </c>
      <c r="C2133" s="13" t="s">
        <v>10</v>
      </c>
      <c r="D2133" s="13" t="str">
        <f>"PRESIDI MEDICO-CHIRURGICI GENERICI E AUSILI TECNICI PER DISABILI M"</f>
        <v>PRESIDI MEDICO-CHIRURGICI GENERICI E AUSILI TECNICI PER DISABILI M</v>
      </c>
      <c r="E2133" s="13" t="str">
        <f>"BSN MEDICAL SRL Soc. con Socio Unico"</f>
        <v>BSN MEDICAL SRL Soc. con Socio Unico</v>
      </c>
      <c r="F2133" s="13" t="s">
        <v>14</v>
      </c>
      <c r="G2133" s="15">
        <v>260</v>
      </c>
    </row>
    <row r="2134" spans="1:7" ht="22.5" x14ac:dyDescent="0.25">
      <c r="A2134" s="13">
        <v>14492</v>
      </c>
      <c r="B2134" s="14">
        <v>43452.548333333332</v>
      </c>
      <c r="C2134" s="13" t="s">
        <v>10</v>
      </c>
      <c r="D2134" s="13" t="str">
        <f>"PRODOTTI FARMACEUTICI CON AIC"</f>
        <v>PRODOTTI FARMACEUTICI CON AIC</v>
      </c>
      <c r="E2134" s="13" t="str">
        <f>"BOEHRINGER INGELHEIM ITALIA SPA"</f>
        <v>BOEHRINGER INGELHEIM ITALIA SPA</v>
      </c>
      <c r="F2134" s="13" t="s">
        <v>14</v>
      </c>
      <c r="G2134" s="15">
        <v>375.1</v>
      </c>
    </row>
    <row r="2135" spans="1:7" ht="22.5" x14ac:dyDescent="0.25">
      <c r="A2135" s="13">
        <v>14493</v>
      </c>
      <c r="B2135" s="14">
        <v>43452.548333333332</v>
      </c>
      <c r="C2135" s="13" t="s">
        <v>10</v>
      </c>
      <c r="D2135" s="13" t="str">
        <f>"STRUMENTARIO CHIRURGICO (K, L)"</f>
        <v>STRUMENTARIO CHIRURGICO (K, L)</v>
      </c>
      <c r="E2135" s="13" t="str">
        <f>"BONESCHI &amp; C. SPA"</f>
        <v>BONESCHI &amp; C. SPA</v>
      </c>
      <c r="F2135" s="13" t="s">
        <v>14</v>
      </c>
      <c r="G2135" s="15">
        <v>826</v>
      </c>
    </row>
    <row r="2136" spans="1:7" ht="22.5" x14ac:dyDescent="0.25">
      <c r="A2136" s="13">
        <v>14494</v>
      </c>
      <c r="B2136" s="14">
        <v>43452.548344907409</v>
      </c>
      <c r="C2136" s="13" t="s">
        <v>10</v>
      </c>
      <c r="D2136" s="13" t="str">
        <f>"ALTRI SERVIZI S.T."</f>
        <v>ALTRI SERVIZI S.T.</v>
      </c>
      <c r="E2136" s="13" t="str">
        <f>"CENTRO EDILE ANTONINI SRL"</f>
        <v>CENTRO EDILE ANTONINI SRL</v>
      </c>
      <c r="F2136" s="13" t="str">
        <f>"ALTRE SPESE PER SERV.NON SANITARI"</f>
        <v>ALTRE SPESE PER SERV.NON SANITARI</v>
      </c>
      <c r="G2136" s="15">
        <v>122.79</v>
      </c>
    </row>
    <row r="2137" spans="1:7" ht="33.75" x14ac:dyDescent="0.25">
      <c r="A2137" s="13">
        <v>14495</v>
      </c>
      <c r="B2137" s="14">
        <v>43452.548344907409</v>
      </c>
      <c r="C2137" s="13" t="s">
        <v>10</v>
      </c>
      <c r="D2137" s="13" t="str">
        <f>"DISINFETTANTI, PRODOTTI PER STERILIZZAZIONE E DISPOSITIVI VARI V"</f>
        <v>DISINFETTANTI, PRODOTTI PER STERILIZZAZIONE E DISPOSITIVI VARI V</v>
      </c>
      <c r="E2137" s="13" t="str">
        <f>"CHEMIL SRL"</f>
        <v>CHEMIL SRL</v>
      </c>
      <c r="F2137" s="13" t="s">
        <v>14</v>
      </c>
      <c r="G2137" s="15">
        <v>327.60000000000002</v>
      </c>
    </row>
    <row r="2138" spans="1:7" ht="22.5" x14ac:dyDescent="0.25">
      <c r="A2138" s="13">
        <v>14496</v>
      </c>
      <c r="B2138" s="14">
        <v>43452.548344907409</v>
      </c>
      <c r="C2138" s="13" t="s">
        <v>10</v>
      </c>
      <c r="D2138" s="13" t="str">
        <f t="shared" ref="D2138:D2145" si="157">"MATERIALE PROTESICO"</f>
        <v>MATERIALE PROTESICO</v>
      </c>
      <c r="E2138" s="13" t="str">
        <f>"CLINIKA SRL"</f>
        <v>CLINIKA SRL</v>
      </c>
      <c r="F2138" s="13" t="s">
        <v>14</v>
      </c>
      <c r="G2138" s="15">
        <v>3707.26</v>
      </c>
    </row>
    <row r="2139" spans="1:7" ht="22.5" x14ac:dyDescent="0.25">
      <c r="A2139" s="13">
        <v>14497</v>
      </c>
      <c r="B2139" s="14">
        <v>43452.548344907409</v>
      </c>
      <c r="C2139" s="13" t="s">
        <v>10</v>
      </c>
      <c r="D2139" s="13" t="str">
        <f t="shared" si="157"/>
        <v>MATERIALE PROTESICO</v>
      </c>
      <c r="E2139" s="13" t="str">
        <f t="shared" ref="E2139:E2145" si="158">"CONMED ITALIA SRL con Socio Unico"</f>
        <v>CONMED ITALIA SRL con Socio Unico</v>
      </c>
      <c r="F2139" s="13" t="s">
        <v>14</v>
      </c>
      <c r="G2139" s="15">
        <v>308.75</v>
      </c>
    </row>
    <row r="2140" spans="1:7" ht="22.5" x14ac:dyDescent="0.25">
      <c r="A2140" s="13">
        <v>14498</v>
      </c>
      <c r="B2140" s="14">
        <v>43452.548344907409</v>
      </c>
      <c r="C2140" s="13" t="s">
        <v>10</v>
      </c>
      <c r="D2140" s="13" t="str">
        <f t="shared" si="157"/>
        <v>MATERIALE PROTESICO</v>
      </c>
      <c r="E2140" s="13" t="str">
        <f t="shared" si="158"/>
        <v>CONMED ITALIA SRL con Socio Unico</v>
      </c>
      <c r="F2140" s="13" t="s">
        <v>14</v>
      </c>
      <c r="G2140" s="15">
        <v>356.25</v>
      </c>
    </row>
    <row r="2141" spans="1:7" ht="22.5" x14ac:dyDescent="0.25">
      <c r="A2141" s="13">
        <v>14499</v>
      </c>
      <c r="B2141" s="14">
        <v>43452.548344907409</v>
      </c>
      <c r="C2141" s="13" t="s">
        <v>10</v>
      </c>
      <c r="D2141" s="13" t="str">
        <f t="shared" si="157"/>
        <v>MATERIALE PROTESICO</v>
      </c>
      <c r="E2141" s="13" t="str">
        <f t="shared" si="158"/>
        <v>CONMED ITALIA SRL con Socio Unico</v>
      </c>
      <c r="F2141" s="13" t="s">
        <v>14</v>
      </c>
      <c r="G2141" s="15">
        <v>389.5</v>
      </c>
    </row>
    <row r="2142" spans="1:7" ht="22.5" x14ac:dyDescent="0.25">
      <c r="A2142" s="13">
        <v>14500</v>
      </c>
      <c r="B2142" s="14">
        <v>43452.548344907409</v>
      </c>
      <c r="C2142" s="13" t="s">
        <v>10</v>
      </c>
      <c r="D2142" s="13" t="str">
        <f t="shared" si="157"/>
        <v>MATERIALE PROTESICO</v>
      </c>
      <c r="E2142" s="13" t="str">
        <f t="shared" si="158"/>
        <v>CONMED ITALIA SRL con Socio Unico</v>
      </c>
      <c r="F2142" s="13" t="s">
        <v>14</v>
      </c>
      <c r="G2142" s="15">
        <v>342</v>
      </c>
    </row>
    <row r="2143" spans="1:7" ht="22.5" x14ac:dyDescent="0.25">
      <c r="A2143" s="13">
        <v>14501</v>
      </c>
      <c r="B2143" s="14">
        <v>43452.548344907409</v>
      </c>
      <c r="C2143" s="13" t="s">
        <v>10</v>
      </c>
      <c r="D2143" s="13" t="str">
        <f t="shared" si="157"/>
        <v>MATERIALE PROTESICO</v>
      </c>
      <c r="E2143" s="13" t="str">
        <f t="shared" si="158"/>
        <v>CONMED ITALIA SRL con Socio Unico</v>
      </c>
      <c r="F2143" s="13" t="s">
        <v>14</v>
      </c>
      <c r="G2143" s="15">
        <v>532</v>
      </c>
    </row>
    <row r="2144" spans="1:7" ht="22.5" x14ac:dyDescent="0.25">
      <c r="A2144" s="13">
        <v>14502</v>
      </c>
      <c r="B2144" s="14">
        <v>43452.548344907409</v>
      </c>
      <c r="C2144" s="13" t="s">
        <v>10</v>
      </c>
      <c r="D2144" s="13" t="str">
        <f t="shared" si="157"/>
        <v>MATERIALE PROTESICO</v>
      </c>
      <c r="E2144" s="13" t="str">
        <f t="shared" si="158"/>
        <v>CONMED ITALIA SRL con Socio Unico</v>
      </c>
      <c r="F2144" s="13" t="s">
        <v>14</v>
      </c>
      <c r="G2144" s="15">
        <v>308.75</v>
      </c>
    </row>
    <row r="2145" spans="1:7" ht="22.5" x14ac:dyDescent="0.25">
      <c r="A2145" s="13">
        <v>14503</v>
      </c>
      <c r="B2145" s="14">
        <v>43452.548344907409</v>
      </c>
      <c r="C2145" s="13" t="s">
        <v>10</v>
      </c>
      <c r="D2145" s="13" t="str">
        <f t="shared" si="157"/>
        <v>MATERIALE PROTESICO</v>
      </c>
      <c r="E2145" s="13" t="str">
        <f t="shared" si="158"/>
        <v>CONMED ITALIA SRL con Socio Unico</v>
      </c>
      <c r="F2145" s="13" t="s">
        <v>14</v>
      </c>
      <c r="G2145" s="15">
        <v>389.5</v>
      </c>
    </row>
    <row r="2146" spans="1:7" ht="22.5" x14ac:dyDescent="0.25">
      <c r="A2146" s="13">
        <v>14504</v>
      </c>
      <c r="B2146" s="14">
        <v>43452.548344907409</v>
      </c>
      <c r="C2146" s="13" t="s">
        <v>10</v>
      </c>
      <c r="D2146" s="13" t="str">
        <f>"PRESIDI MEDICO-CHIRURGICI SPECIALISTICI U"</f>
        <v>PRESIDI MEDICO-CHIRURGICI SPECIALISTICI U</v>
      </c>
      <c r="E2146" s="13" t="str">
        <f>"COLOPLAST SPA"</f>
        <v>COLOPLAST SPA</v>
      </c>
      <c r="F2146" s="13" t="s">
        <v>14</v>
      </c>
      <c r="G2146" s="15">
        <v>81</v>
      </c>
    </row>
    <row r="2147" spans="1:7" ht="22.5" x14ac:dyDescent="0.25">
      <c r="A2147" s="13">
        <v>14505</v>
      </c>
      <c r="B2147" s="14">
        <v>43452.548356481479</v>
      </c>
      <c r="C2147" s="13" t="s">
        <v>10</v>
      </c>
      <c r="D2147" s="13" t="str">
        <f>"ASSISTENZA PASTI"</f>
        <v>ASSISTENZA PASTI</v>
      </c>
      <c r="E2147" s="13" t="str">
        <f>"CONSORZIO NAZIONALE SERVIZI - SOCIETA COOPERATIVA"</f>
        <v>CONSORZIO NAZIONALE SERVIZI - SOCIETA COOPERATIVA</v>
      </c>
      <c r="F2147" s="13" t="s">
        <v>21</v>
      </c>
      <c r="G2147" s="15">
        <v>78909.899999999994</v>
      </c>
    </row>
    <row r="2148" spans="1:7" ht="33.75" x14ac:dyDescent="0.25">
      <c r="A2148" s="13">
        <v>14506</v>
      </c>
      <c r="B2148" s="14">
        <v>43452.548356481479</v>
      </c>
      <c r="C2148" s="13" t="s">
        <v>10</v>
      </c>
      <c r="D2148" s="13" t="str">
        <f>"DISPOSITIVI DI SOMMINISTRAZIONE, PRELIEVO E RACCOLTA (CIN A)"</f>
        <v>DISPOSITIVI DI SOMMINISTRAZIONE, PRELIEVO E RACCOLTA (CIN A)</v>
      </c>
      <c r="E2148" s="13" t="str">
        <f>"EUROSETS SRL"</f>
        <v>EUROSETS SRL</v>
      </c>
      <c r="F2148" s="13" t="s">
        <v>14</v>
      </c>
      <c r="G2148" s="15">
        <v>3940</v>
      </c>
    </row>
    <row r="2149" spans="1:7" ht="22.5" x14ac:dyDescent="0.25">
      <c r="A2149" s="13">
        <v>14507</v>
      </c>
      <c r="B2149" s="14">
        <v>43452.548356481479</v>
      </c>
      <c r="C2149" s="13" t="s">
        <v>10</v>
      </c>
      <c r="D2149" s="13" t="str">
        <f>"FARMACI FILE F"</f>
        <v>FARMACI FILE F</v>
      </c>
      <c r="E2149" s="13" t="str">
        <f>"ELI LILLY ITALIA SPA"</f>
        <v>ELI LILLY ITALIA SPA</v>
      </c>
      <c r="F2149" s="13" t="s">
        <v>14</v>
      </c>
      <c r="G2149" s="15">
        <v>10035.200000000001</v>
      </c>
    </row>
    <row r="2150" spans="1:7" ht="22.5" x14ac:dyDescent="0.25">
      <c r="A2150" s="13">
        <v>14508</v>
      </c>
      <c r="B2150" s="14">
        <v>43452.548356481479</v>
      </c>
      <c r="C2150" s="13" t="s">
        <v>10</v>
      </c>
      <c r="D2150" s="13" t="str">
        <f>"FARMACI FILE F"</f>
        <v>FARMACI FILE F</v>
      </c>
      <c r="E2150" s="13" t="str">
        <f>"ELI LILLY ITALIA SPA"</f>
        <v>ELI LILLY ITALIA SPA</v>
      </c>
      <c r="F2150" s="13" t="s">
        <v>14</v>
      </c>
      <c r="G2150" s="15">
        <v>6899.2</v>
      </c>
    </row>
    <row r="2151" spans="1:7" ht="22.5" x14ac:dyDescent="0.25">
      <c r="A2151" s="13">
        <v>14509</v>
      </c>
      <c r="B2151" s="14">
        <v>43452.548356481479</v>
      </c>
      <c r="C2151" s="13" t="s">
        <v>10</v>
      </c>
      <c r="D2151" s="13" t="str">
        <f t="shared" ref="D2151:D2156" si="159">"MATERIALE PROTESICO"</f>
        <v>MATERIALE PROTESICO</v>
      </c>
      <c r="E2151" s="13" t="str">
        <f>"CONMED ITALIA SRL con Socio Unico"</f>
        <v>CONMED ITALIA SRL con Socio Unico</v>
      </c>
      <c r="F2151" s="13" t="s">
        <v>14</v>
      </c>
      <c r="G2151" s="15">
        <v>745.75</v>
      </c>
    </row>
    <row r="2152" spans="1:7" ht="22.5" x14ac:dyDescent="0.25">
      <c r="A2152" s="13">
        <v>14510</v>
      </c>
      <c r="B2152" s="14">
        <v>43452.548356481479</v>
      </c>
      <c r="C2152" s="13" t="s">
        <v>10</v>
      </c>
      <c r="D2152" s="13" t="str">
        <f t="shared" si="159"/>
        <v>MATERIALE PROTESICO</v>
      </c>
      <c r="E2152" s="13" t="str">
        <f>"CONMED ITALIA SRL con Socio Unico"</f>
        <v>CONMED ITALIA SRL con Socio Unico</v>
      </c>
      <c r="F2152" s="13" t="s">
        <v>14</v>
      </c>
      <c r="G2152" s="15">
        <v>389.5</v>
      </c>
    </row>
    <row r="2153" spans="1:7" ht="22.5" x14ac:dyDescent="0.25">
      <c r="A2153" s="13">
        <v>14511</v>
      </c>
      <c r="B2153" s="14">
        <v>43452.548356481479</v>
      </c>
      <c r="C2153" s="13" t="s">
        <v>10</v>
      </c>
      <c r="D2153" s="13" t="str">
        <f t="shared" si="159"/>
        <v>MATERIALE PROTESICO</v>
      </c>
      <c r="E2153" s="13" t="str">
        <f>"CONMED ITALIA SRL con Socio Unico"</f>
        <v>CONMED ITALIA SRL con Socio Unico</v>
      </c>
      <c r="F2153" s="13" t="s">
        <v>14</v>
      </c>
      <c r="G2153" s="15">
        <v>389.5</v>
      </c>
    </row>
    <row r="2154" spans="1:7" ht="22.5" x14ac:dyDescent="0.25">
      <c r="A2154" s="13">
        <v>14512</v>
      </c>
      <c r="B2154" s="14">
        <v>43452.548356481479</v>
      </c>
      <c r="C2154" s="13" t="s">
        <v>10</v>
      </c>
      <c r="D2154" s="13" t="str">
        <f t="shared" si="159"/>
        <v>MATERIALE PROTESICO</v>
      </c>
      <c r="E2154" s="13" t="str">
        <f>"CONMED ITALIA SRL con Socio Unico"</f>
        <v>CONMED ITALIA SRL con Socio Unico</v>
      </c>
      <c r="F2154" s="13" t="s">
        <v>14</v>
      </c>
      <c r="G2154" s="15">
        <v>712.5</v>
      </c>
    </row>
    <row r="2155" spans="1:7" ht="22.5" x14ac:dyDescent="0.25">
      <c r="A2155" s="13">
        <v>14513</v>
      </c>
      <c r="B2155" s="14">
        <v>43452.548356481479</v>
      </c>
      <c r="C2155" s="13" t="s">
        <v>10</v>
      </c>
      <c r="D2155" s="13" t="str">
        <f t="shared" si="159"/>
        <v>MATERIALE PROTESICO</v>
      </c>
      <c r="E2155" s="13" t="str">
        <f>"CONMED ITALIA SRL con Socio Unico"</f>
        <v>CONMED ITALIA SRL con Socio Unico</v>
      </c>
      <c r="F2155" s="13" t="s">
        <v>14</v>
      </c>
      <c r="G2155" s="15">
        <v>389.5</v>
      </c>
    </row>
    <row r="2156" spans="1:7" ht="22.5" x14ac:dyDescent="0.25">
      <c r="A2156" s="13">
        <v>14514</v>
      </c>
      <c r="B2156" s="14">
        <v>43452.548356481479</v>
      </c>
      <c r="C2156" s="13" t="s">
        <v>10</v>
      </c>
      <c r="D2156" s="13" t="str">
        <f t="shared" si="159"/>
        <v>MATERIALE PROTESICO</v>
      </c>
      <c r="E2156" s="13" t="str">
        <f>"FIN - CERAMICA FAENZA SPA con Socio Unico"</f>
        <v>FIN - CERAMICA FAENZA SPA con Socio Unico</v>
      </c>
      <c r="F2156" s="13" t="s">
        <v>14</v>
      </c>
      <c r="G2156" s="15">
        <v>2669.98</v>
      </c>
    </row>
    <row r="2157" spans="1:7" ht="22.5" x14ac:dyDescent="0.25">
      <c r="A2157" s="13">
        <v>14515</v>
      </c>
      <c r="B2157" s="14">
        <v>43452.548356481479</v>
      </c>
      <c r="C2157" s="13" t="s">
        <v>10</v>
      </c>
      <c r="D2157" s="13" t="str">
        <f>"SERVIZIO DI RISCALDAMENTO"</f>
        <v>SERVIZIO DI RISCALDAMENTO</v>
      </c>
      <c r="E2157" s="13" t="str">
        <f>"ELETTRONICA BRIANZA SRL"</f>
        <v>ELETTRONICA BRIANZA SRL</v>
      </c>
      <c r="F2157" s="13" t="s">
        <v>14</v>
      </c>
      <c r="G2157" s="15">
        <v>4250</v>
      </c>
    </row>
    <row r="2158" spans="1:7" ht="22.5" x14ac:dyDescent="0.25">
      <c r="A2158" s="13">
        <v>14516</v>
      </c>
      <c r="B2158" s="14">
        <v>43452.548356481479</v>
      </c>
      <c r="C2158" s="13" t="s">
        <v>10</v>
      </c>
      <c r="D2158" s="13" t="str">
        <f>"SMALTIMENTO RIFIUTI SPECIALI E ASSIMILATI"</f>
        <v>SMALTIMENTO RIFIUTI SPECIALI E ASSIMILATI</v>
      </c>
      <c r="E2158" s="13" t="str">
        <f>"CONSORZIO NAZIONALE SERVIZI - SOCIETA COOPERATIVA"</f>
        <v>CONSORZIO NAZIONALE SERVIZI - SOCIETA COOPERATIVA</v>
      </c>
      <c r="F2158" s="13" t="s">
        <v>14</v>
      </c>
      <c r="G2158" s="15">
        <v>5621.79</v>
      </c>
    </row>
    <row r="2159" spans="1:7" ht="22.5" x14ac:dyDescent="0.25">
      <c r="A2159" s="13">
        <v>14517</v>
      </c>
      <c r="B2159" s="14">
        <v>43452.548356481479</v>
      </c>
      <c r="C2159" s="13" t="s">
        <v>10</v>
      </c>
      <c r="D2159" s="13" t="str">
        <f>"STRUMENTARIO CHIRURGICO (K, L)"</f>
        <v>STRUMENTARIO CHIRURGICO (K, L)</v>
      </c>
      <c r="E2159" s="13" t="str">
        <f>"CONMED ITALIA SRL con Socio Unico"</f>
        <v>CONMED ITALIA SRL con Socio Unico</v>
      </c>
      <c r="F2159" s="13" t="s">
        <v>14</v>
      </c>
      <c r="G2159" s="15">
        <v>1482</v>
      </c>
    </row>
    <row r="2160" spans="1:7" ht="22.5" x14ac:dyDescent="0.25">
      <c r="A2160" s="13">
        <v>14518</v>
      </c>
      <c r="B2160" s="14">
        <v>43452.548368055555</v>
      </c>
      <c r="C2160" s="13" t="s">
        <v>10</v>
      </c>
      <c r="D2160" s="13" t="str">
        <f>"ALTRI SERVIZI S.T."</f>
        <v>ALTRI SERVIZI S.T.</v>
      </c>
      <c r="E2160" s="13" t="str">
        <f>"GARAVAGLIA DARIO - COLORIFICIO/FERRAMENTA"</f>
        <v>GARAVAGLIA DARIO - COLORIFICIO/FERRAMENTA</v>
      </c>
      <c r="F2160" s="13" t="str">
        <f>"ALTRE SPESE PER SERV.NON SANITARI"</f>
        <v>ALTRE SPESE PER SERV.NON SANITARI</v>
      </c>
      <c r="G2160" s="15">
        <v>1178.2</v>
      </c>
    </row>
    <row r="2161" spans="1:7" ht="22.5" x14ac:dyDescent="0.25">
      <c r="A2161" s="13">
        <v>14519</v>
      </c>
      <c r="B2161" s="14">
        <v>43452.548368055555</v>
      </c>
      <c r="C2161" s="13" t="s">
        <v>10</v>
      </c>
      <c r="D2161" s="13" t="str">
        <f>"ALTRI SERVIZI S.T."</f>
        <v>ALTRI SERVIZI S.T.</v>
      </c>
      <c r="E2161" s="13" t="str">
        <f>"GARAVAGLIA DARIO - COLORIFICIO/FERRAMENTA"</f>
        <v>GARAVAGLIA DARIO - COLORIFICIO/FERRAMENTA</v>
      </c>
      <c r="F2161" s="13" t="str">
        <f>"ALTRE SPESE PER SERV.NON SANITARI"</f>
        <v>ALTRE SPESE PER SERV.NON SANITARI</v>
      </c>
      <c r="G2161" s="15">
        <v>351.9</v>
      </c>
    </row>
    <row r="2162" spans="1:7" ht="22.5" x14ac:dyDescent="0.25">
      <c r="A2162" s="13">
        <v>14520</v>
      </c>
      <c r="B2162" s="14">
        <v>43452.548368055555</v>
      </c>
      <c r="C2162" s="13" t="s">
        <v>10</v>
      </c>
      <c r="D2162" s="13" t="str">
        <f>"ALTRO MATERIALE SANITARIO (SENZA CND)"</f>
        <v>ALTRO MATERIALE SANITARIO (SENZA CND)</v>
      </c>
      <c r="E2162" s="13" t="str">
        <f>"ERREKAPPA EUROTERAPICI SPA"</f>
        <v>ERREKAPPA EUROTERAPICI SPA</v>
      </c>
      <c r="F2162" s="13" t="s">
        <v>16</v>
      </c>
      <c r="G2162" s="15">
        <v>148.51</v>
      </c>
    </row>
    <row r="2163" spans="1:7" ht="22.5" x14ac:dyDescent="0.25">
      <c r="A2163" s="13">
        <v>14521</v>
      </c>
      <c r="B2163" s="14">
        <v>43452.548368055555</v>
      </c>
      <c r="C2163" s="13" t="s">
        <v>10</v>
      </c>
      <c r="D2163" s="13" t="str">
        <f>"BENI IMPORTO &lt; EURO 309,88 I.C."</f>
        <v>BENI IMPORTO &lt; EURO 309,88 I.C.</v>
      </c>
      <c r="E2163" s="13" t="str">
        <f>"EDILFERRAMENTA SRL"</f>
        <v>EDILFERRAMENTA SRL</v>
      </c>
      <c r="F2163" s="13" t="s">
        <v>14</v>
      </c>
      <c r="G2163" s="15">
        <v>460.63</v>
      </c>
    </row>
    <row r="2164" spans="1:7" ht="33.75" x14ac:dyDescent="0.25">
      <c r="A2164" s="13">
        <v>14522</v>
      </c>
      <c r="B2164" s="14">
        <v>43452.548368055555</v>
      </c>
      <c r="C2164" s="13" t="s">
        <v>10</v>
      </c>
      <c r="D2164" s="13" t="str">
        <f>"PRESIDI MEDICO-CHIRURGICI GENERICI E AUSILI TECNICI PER DISABILI M"</f>
        <v>PRESIDI MEDICO-CHIRURGICI GENERICI E AUSILI TECNICI PER DISABILI M</v>
      </c>
      <c r="E2164" s="13" t="str">
        <f>"FARMAC - ZABBAN SPA"</f>
        <v>FARMAC - ZABBAN SPA</v>
      </c>
      <c r="F2164" s="13" t="s">
        <v>14</v>
      </c>
      <c r="G2164" s="15">
        <v>309.48</v>
      </c>
    </row>
    <row r="2165" spans="1:7" ht="22.5" x14ac:dyDescent="0.25">
      <c r="A2165" s="13">
        <v>14523</v>
      </c>
      <c r="B2165" s="14">
        <v>43452.548368055555</v>
      </c>
      <c r="C2165" s="13" t="s">
        <v>10</v>
      </c>
      <c r="D2165" s="13" t="str">
        <f>"PRODOTTI FARMACEUTICI CON AIC"</f>
        <v>PRODOTTI FARMACEUTICI CON AIC</v>
      </c>
      <c r="E2165" s="13" t="str">
        <f>"FISIOPHARMA SRL Uninominale"</f>
        <v>FISIOPHARMA SRL Uninominale</v>
      </c>
      <c r="F2165" s="13" t="s">
        <v>14</v>
      </c>
      <c r="G2165" s="15">
        <v>122.1</v>
      </c>
    </row>
    <row r="2166" spans="1:7" ht="22.5" x14ac:dyDescent="0.25">
      <c r="A2166" s="13">
        <v>14524</v>
      </c>
      <c r="B2166" s="14">
        <v>43452.548368055555</v>
      </c>
      <c r="C2166" s="13" t="s">
        <v>10</v>
      </c>
      <c r="D2166" s="13" t="str">
        <f>"PRODOTTI FARMACEUTICI CON AIC"</f>
        <v>PRODOTTI FARMACEUTICI CON AIC</v>
      </c>
      <c r="E2166" s="13" t="str">
        <f>"FRESENIUS KABI ITALIA SRL con Socio Unico"</f>
        <v>FRESENIUS KABI ITALIA SRL con Socio Unico</v>
      </c>
      <c r="F2166" s="13" t="s">
        <v>14</v>
      </c>
      <c r="G2166" s="15">
        <v>410</v>
      </c>
    </row>
    <row r="2167" spans="1:7" ht="22.5" x14ac:dyDescent="0.25">
      <c r="A2167" s="13">
        <v>14525</v>
      </c>
      <c r="B2167" s="14">
        <v>43452.548368055555</v>
      </c>
      <c r="C2167" s="13" t="s">
        <v>10</v>
      </c>
      <c r="D2167" s="13" t="str">
        <f>"PRODOTTI FARMACEUTICI CON AIC"</f>
        <v>PRODOTTI FARMACEUTICI CON AIC</v>
      </c>
      <c r="E2167" s="13" t="str">
        <f>"FRESENIUS KABI ITALIA SRL con Socio Unico"</f>
        <v>FRESENIUS KABI ITALIA SRL con Socio Unico</v>
      </c>
      <c r="F2167" s="13" t="s">
        <v>14</v>
      </c>
      <c r="G2167" s="15">
        <v>2213.3200000000002</v>
      </c>
    </row>
    <row r="2168" spans="1:7" ht="22.5" x14ac:dyDescent="0.25">
      <c r="A2168" s="13">
        <v>14526</v>
      </c>
      <c r="B2168" s="14">
        <v>43452.548368055555</v>
      </c>
      <c r="C2168" s="13" t="s">
        <v>10</v>
      </c>
      <c r="D2168" s="13" t="str">
        <f>"PRODOTTI FARMACEUTICI CON AIC"</f>
        <v>PRODOTTI FARMACEUTICI CON AIC</v>
      </c>
      <c r="E2168" s="13" t="str">
        <f>"FRESENIUS KABI ITALIA SRL con Socio Unico"</f>
        <v>FRESENIUS KABI ITALIA SRL con Socio Unico</v>
      </c>
      <c r="F2168" s="13" t="s">
        <v>14</v>
      </c>
      <c r="G2168" s="15">
        <v>2587.8000000000002</v>
      </c>
    </row>
    <row r="2169" spans="1:7" ht="22.5" x14ac:dyDescent="0.25">
      <c r="A2169" s="13">
        <v>14527</v>
      </c>
      <c r="B2169" s="14">
        <v>43452.548368055555</v>
      </c>
      <c r="C2169" s="13" t="s">
        <v>10</v>
      </c>
      <c r="D2169" s="13" t="str">
        <f>"PRODOTTI FARMACEUTICI CON AIC"</f>
        <v>PRODOTTI FARMACEUTICI CON AIC</v>
      </c>
      <c r="E2169" s="13" t="str">
        <f>"FRESENIUS KABI ITALIA SRL con Socio Unico"</f>
        <v>FRESENIUS KABI ITALIA SRL con Socio Unico</v>
      </c>
      <c r="F2169" s="13" t="s">
        <v>14</v>
      </c>
      <c r="G2169" s="15">
        <v>1067.5999999999999</v>
      </c>
    </row>
    <row r="2170" spans="1:7" ht="22.5" x14ac:dyDescent="0.25">
      <c r="A2170" s="13">
        <v>14528</v>
      </c>
      <c r="B2170" s="14">
        <v>43452.548379629632</v>
      </c>
      <c r="C2170" s="13" t="s">
        <v>10</v>
      </c>
      <c r="D2170" s="13" t="str">
        <f>"ALTRO MATERIALE PROTESICO (SENZA CND)"</f>
        <v>ALTRO MATERIALE PROTESICO (SENZA CND)</v>
      </c>
      <c r="E2170" s="13" t="str">
        <f>"IMPLANTCAST ITALIA SRL"</f>
        <v>IMPLANTCAST ITALIA SRL</v>
      </c>
      <c r="F2170" s="13" t="s">
        <v>14</v>
      </c>
      <c r="G2170" s="15">
        <v>17439.93</v>
      </c>
    </row>
    <row r="2171" spans="1:7" ht="22.5" x14ac:dyDescent="0.25">
      <c r="A2171" s="13">
        <v>14529</v>
      </c>
      <c r="B2171" s="14">
        <v>43452.548379629632</v>
      </c>
      <c r="C2171" s="13" t="s">
        <v>10</v>
      </c>
      <c r="D2171" s="13" t="str">
        <f>"CANCELLERIA E SUPPORTI MECCANOGRAFICI"</f>
        <v>CANCELLERIA E SUPPORTI MECCANOGRAFICI</v>
      </c>
      <c r="E2171" s="13" t="str">
        <f>"GECAL SPA"</f>
        <v>GECAL SPA</v>
      </c>
      <c r="F2171" s="13" t="s">
        <v>14</v>
      </c>
      <c r="G2171" s="15">
        <v>665.5</v>
      </c>
    </row>
    <row r="2172" spans="1:7" ht="22.5" x14ac:dyDescent="0.25">
      <c r="A2172" s="13">
        <v>14530</v>
      </c>
      <c r="B2172" s="14">
        <v>43452.548379629632</v>
      </c>
      <c r="C2172" s="13" t="s">
        <v>10</v>
      </c>
      <c r="D2172" s="13" t="str">
        <f>"CANCELLERIA E SUPPORTI MECCANOGRAFICI"</f>
        <v>CANCELLERIA E SUPPORTI MECCANOGRAFICI</v>
      </c>
      <c r="E2172" s="13" t="str">
        <f>"GECAL SPA"</f>
        <v>GECAL SPA</v>
      </c>
      <c r="F2172" s="13" t="s">
        <v>14</v>
      </c>
      <c r="G2172" s="15">
        <v>438.6</v>
      </c>
    </row>
    <row r="2173" spans="1:7" ht="22.5" x14ac:dyDescent="0.25">
      <c r="A2173" s="13">
        <v>14531</v>
      </c>
      <c r="B2173" s="14">
        <v>43452.548379629632</v>
      </c>
      <c r="C2173" s="13" t="s">
        <v>10</v>
      </c>
      <c r="D2173" s="13" t="str">
        <f>"CANCELLERIA E SUPPORTI MECCANOGRAFICI"</f>
        <v>CANCELLERIA E SUPPORTI MECCANOGRAFICI</v>
      </c>
      <c r="E2173" s="13" t="str">
        <f>"GECAL SPA"</f>
        <v>GECAL SPA</v>
      </c>
      <c r="F2173" s="13" t="s">
        <v>14</v>
      </c>
      <c r="G2173" s="15">
        <v>139.5</v>
      </c>
    </row>
    <row r="2174" spans="1:7" ht="22.5" x14ac:dyDescent="0.25">
      <c r="A2174" s="13">
        <v>14532</v>
      </c>
      <c r="B2174" s="14">
        <v>43452.548379629632</v>
      </c>
      <c r="C2174" s="13" t="s">
        <v>10</v>
      </c>
      <c r="D2174" s="13" t="str">
        <f>"CANCELLERIA E SUPPORTI MECCANOGRAFICI"</f>
        <v>CANCELLERIA E SUPPORTI MECCANOGRAFICI</v>
      </c>
      <c r="E2174" s="13" t="str">
        <f>"GECAL SPA"</f>
        <v>GECAL SPA</v>
      </c>
      <c r="F2174" s="13" t="s">
        <v>14</v>
      </c>
      <c r="G2174" s="15">
        <v>553.77</v>
      </c>
    </row>
    <row r="2175" spans="1:7" ht="22.5" x14ac:dyDescent="0.25">
      <c r="A2175" s="13">
        <v>14533</v>
      </c>
      <c r="B2175" s="14">
        <v>43452.548379629632</v>
      </c>
      <c r="C2175" s="13" t="s">
        <v>10</v>
      </c>
      <c r="D2175" s="13" t="str">
        <f>"FARMACI FILE F"</f>
        <v>FARMACI FILE F</v>
      </c>
      <c r="E2175" s="13" t="str">
        <f>"GLAXOSMITHKLINE SPA Unipersonale"</f>
        <v>GLAXOSMITHKLINE SPA Unipersonale</v>
      </c>
      <c r="F2175" s="13" t="s">
        <v>14</v>
      </c>
      <c r="G2175" s="15">
        <v>4459.79</v>
      </c>
    </row>
    <row r="2176" spans="1:7" ht="22.5" x14ac:dyDescent="0.25">
      <c r="A2176" s="13">
        <v>14534</v>
      </c>
      <c r="B2176" s="14">
        <v>43452.548379629632</v>
      </c>
      <c r="C2176" s="13" t="s">
        <v>10</v>
      </c>
      <c r="D2176" s="13" t="str">
        <f>"FARMACI FILE F"</f>
        <v>FARMACI FILE F</v>
      </c>
      <c r="E2176" s="13" t="str">
        <f>"GLAXOSMITHKLINE SPA Unipersonale"</f>
        <v>GLAXOSMITHKLINE SPA Unipersonale</v>
      </c>
      <c r="F2176" s="13" t="s">
        <v>14</v>
      </c>
      <c r="G2176" s="15">
        <v>4390.1499999999996</v>
      </c>
    </row>
    <row r="2177" spans="1:7" ht="22.5" x14ac:dyDescent="0.25">
      <c r="A2177" s="13">
        <v>14535</v>
      </c>
      <c r="B2177" s="14">
        <v>43452.548379629632</v>
      </c>
      <c r="C2177" s="13" t="s">
        <v>10</v>
      </c>
      <c r="D2177" s="13" t="str">
        <f>"MATERIALE PER EDP"</f>
        <v>MATERIALE PER EDP</v>
      </c>
      <c r="E2177" s="13" t="str">
        <f>"GECAL SPA"</f>
        <v>GECAL SPA</v>
      </c>
      <c r="F2177" s="13" t="s">
        <v>14</v>
      </c>
      <c r="G2177" s="15">
        <v>19.7</v>
      </c>
    </row>
    <row r="2178" spans="1:7" ht="22.5" x14ac:dyDescent="0.25">
      <c r="A2178" s="13">
        <v>14536</v>
      </c>
      <c r="B2178" s="14">
        <v>43452.548379629632</v>
      </c>
      <c r="C2178" s="13" t="s">
        <v>10</v>
      </c>
      <c r="D2178" s="13" t="str">
        <f>"MATERIALI DI GUARDAROBA E CONVIVENZA"</f>
        <v>MATERIALI DI GUARDAROBA E CONVIVENZA</v>
      </c>
      <c r="E2178" s="13" t="str">
        <f>"GECAL SPA"</f>
        <v>GECAL SPA</v>
      </c>
      <c r="F2178" s="13" t="s">
        <v>21</v>
      </c>
      <c r="G2178" s="15">
        <v>108.91</v>
      </c>
    </row>
    <row r="2179" spans="1:7" ht="22.5" x14ac:dyDescent="0.25">
      <c r="A2179" s="13">
        <v>14537</v>
      </c>
      <c r="B2179" s="14">
        <v>43452.548379629632</v>
      </c>
      <c r="C2179" s="13" t="s">
        <v>10</v>
      </c>
      <c r="D2179" s="13" t="str">
        <f>"NOTE CREDITO DA EMETTERE"</f>
        <v>NOTE CREDITO DA EMETTERE</v>
      </c>
      <c r="E2179" s="13" t="str">
        <f>"GECAL SPA"</f>
        <v>GECAL SPA</v>
      </c>
      <c r="F2179" s="13" t="s">
        <v>14</v>
      </c>
      <c r="G2179" s="15">
        <v>341.81</v>
      </c>
    </row>
    <row r="2180" spans="1:7" ht="22.5" x14ac:dyDescent="0.25">
      <c r="A2180" s="13">
        <v>14538</v>
      </c>
      <c r="B2180" s="14">
        <v>43452.548379629632</v>
      </c>
      <c r="C2180" s="13" t="s">
        <v>10</v>
      </c>
      <c r="D2180" s="13" t="str">
        <f>"NOTE CREDITO DA EMETTERE"</f>
        <v>NOTE CREDITO DA EMETTERE</v>
      </c>
      <c r="E2180" s="13" t="str">
        <f>"GECAL SPA"</f>
        <v>GECAL SPA</v>
      </c>
      <c r="F2180" s="13" t="s">
        <v>14</v>
      </c>
      <c r="G2180" s="15">
        <v>-67.900000000000006</v>
      </c>
    </row>
    <row r="2181" spans="1:7" ht="22.5" x14ac:dyDescent="0.25">
      <c r="A2181" s="13">
        <v>14539</v>
      </c>
      <c r="B2181" s="14">
        <v>43452.548379629632</v>
      </c>
      <c r="C2181" s="13" t="s">
        <v>10</v>
      </c>
      <c r="D2181" s="13" t="str">
        <f>"PRESIDI MEDICO-CHIRURGICI SPECIALISTICI N"</f>
        <v>PRESIDI MEDICO-CHIRURGICI SPECIALISTICI N</v>
      </c>
      <c r="E2181" s="13" t="str">
        <f>"GR DIAGNOSTICA di Rossi Giuseppe"</f>
        <v>GR DIAGNOSTICA di Rossi Giuseppe</v>
      </c>
      <c r="F2181" s="13" t="s">
        <v>14</v>
      </c>
      <c r="G2181" s="15">
        <v>1872</v>
      </c>
    </row>
    <row r="2182" spans="1:7" ht="22.5" x14ac:dyDescent="0.25">
      <c r="A2182" s="13">
        <v>14540</v>
      </c>
      <c r="B2182" s="14">
        <v>43452.548379629632</v>
      </c>
      <c r="C2182" s="13" t="s">
        <v>10</v>
      </c>
      <c r="D2182" s="13" t="str">
        <f>"PRODOTTI FARMACEUTICI CON AIC"</f>
        <v>PRODOTTI FARMACEUTICI CON AIC</v>
      </c>
      <c r="E2182" s="13" t="str">
        <f>"GLAXOSMITHKLINE SPA Unipersonale"</f>
        <v>GLAXOSMITHKLINE SPA Unipersonale</v>
      </c>
      <c r="F2182" s="13" t="s">
        <v>14</v>
      </c>
      <c r="G2182" s="15">
        <v>140.44</v>
      </c>
    </row>
    <row r="2183" spans="1:7" ht="22.5" x14ac:dyDescent="0.25">
      <c r="A2183" s="13">
        <v>14541</v>
      </c>
      <c r="B2183" s="14">
        <v>43452.548379629632</v>
      </c>
      <c r="C2183" s="13" t="s">
        <v>10</v>
      </c>
      <c r="D2183" s="13" t="str">
        <f>"PRODOTTI FARMACEUTICI CON AIC"</f>
        <v>PRODOTTI FARMACEUTICI CON AIC</v>
      </c>
      <c r="E2183" s="13" t="str">
        <f>"GLAXOSMITHKLINE SPA Unipersonale"</f>
        <v>GLAXOSMITHKLINE SPA Unipersonale</v>
      </c>
      <c r="F2183" s="13" t="s">
        <v>14</v>
      </c>
      <c r="G2183" s="15">
        <v>10.3</v>
      </c>
    </row>
    <row r="2184" spans="1:7" ht="22.5" x14ac:dyDescent="0.25">
      <c r="A2184" s="13">
        <v>14542</v>
      </c>
      <c r="B2184" s="14">
        <v>43452.548391203702</v>
      </c>
      <c r="C2184" s="13" t="s">
        <v>10</v>
      </c>
      <c r="D2184" s="13" t="str">
        <f>"MATERIALE PROTESICO"</f>
        <v>MATERIALE PROTESICO</v>
      </c>
      <c r="E2184" s="13" t="str">
        <f>"HERAEUS SPA Unipersonale"</f>
        <v>HERAEUS SPA Unipersonale</v>
      </c>
      <c r="F2184" s="13" t="s">
        <v>14</v>
      </c>
      <c r="G2184" s="15">
        <v>2526.6</v>
      </c>
    </row>
    <row r="2185" spans="1:7" ht="22.5" x14ac:dyDescent="0.25">
      <c r="A2185" s="13">
        <v>14543</v>
      </c>
      <c r="B2185" s="14">
        <v>43452.548391203702</v>
      </c>
      <c r="C2185" s="13" t="s">
        <v>10</v>
      </c>
      <c r="D2185" s="13" t="str">
        <f>"NOTE CREDITO DA EMETTERE"</f>
        <v>NOTE CREDITO DA EMETTERE</v>
      </c>
      <c r="E2185" s="13" t="str">
        <f t="shared" ref="E2185:E2194" si="160">"HOSPITAL SERVICE SRL"</f>
        <v>HOSPITAL SERVICE SRL</v>
      </c>
      <c r="F2185" s="13" t="str">
        <f t="shared" ref="F2185:F2194" si="161">"SERVIZI AUSILIARI E SPESE PULIZIA"</f>
        <v>SERVIZI AUSILIARI E SPESE PULIZIA</v>
      </c>
      <c r="G2185" s="15">
        <v>5559.11</v>
      </c>
    </row>
    <row r="2186" spans="1:7" ht="22.5" x14ac:dyDescent="0.25">
      <c r="A2186" s="13">
        <v>14544</v>
      </c>
      <c r="B2186" s="14">
        <v>43452.548391203702</v>
      </c>
      <c r="C2186" s="13" t="s">
        <v>10</v>
      </c>
      <c r="D2186" s="13" t="str">
        <f>"NOTE CREDITO DA EMETTERE"</f>
        <v>NOTE CREDITO DA EMETTERE</v>
      </c>
      <c r="E2186" s="13" t="str">
        <f t="shared" si="160"/>
        <v>HOSPITAL SERVICE SRL</v>
      </c>
      <c r="F2186" s="13" t="str">
        <f t="shared" si="161"/>
        <v>SERVIZI AUSILIARI E SPESE PULIZIA</v>
      </c>
      <c r="G2186" s="15">
        <v>-314.37</v>
      </c>
    </row>
    <row r="2187" spans="1:7" ht="22.5" x14ac:dyDescent="0.25">
      <c r="A2187" s="13">
        <v>14545</v>
      </c>
      <c r="B2187" s="14">
        <v>43452.548391203702</v>
      </c>
      <c r="C2187" s="13" t="s">
        <v>10</v>
      </c>
      <c r="D2187" s="13" t="str">
        <f t="shared" ref="D2187:D2194" si="162">"SERVIZIO DI LAVANDERIA"</f>
        <v>SERVIZIO DI LAVANDERIA</v>
      </c>
      <c r="E2187" s="13" t="str">
        <f t="shared" si="160"/>
        <v>HOSPITAL SERVICE SRL</v>
      </c>
      <c r="F2187" s="13" t="str">
        <f t="shared" si="161"/>
        <v>SERVIZI AUSILIARI E SPESE PULIZIA</v>
      </c>
      <c r="G2187" s="15">
        <v>1149.8800000000001</v>
      </c>
    </row>
    <row r="2188" spans="1:7" ht="22.5" x14ac:dyDescent="0.25">
      <c r="A2188" s="13">
        <v>14546</v>
      </c>
      <c r="B2188" s="14">
        <v>43452.548391203702</v>
      </c>
      <c r="C2188" s="13" t="s">
        <v>10</v>
      </c>
      <c r="D2188" s="13" t="str">
        <f t="shared" si="162"/>
        <v>SERVIZIO DI LAVANDERIA</v>
      </c>
      <c r="E2188" s="13" t="str">
        <f t="shared" si="160"/>
        <v>HOSPITAL SERVICE SRL</v>
      </c>
      <c r="F2188" s="13" t="str">
        <f t="shared" si="161"/>
        <v>SERVIZI AUSILIARI E SPESE PULIZIA</v>
      </c>
      <c r="G2188" s="15">
        <v>194.81</v>
      </c>
    </row>
    <row r="2189" spans="1:7" ht="22.5" x14ac:dyDescent="0.25">
      <c r="A2189" s="13">
        <v>14547</v>
      </c>
      <c r="B2189" s="14">
        <v>43452.548391203702</v>
      </c>
      <c r="C2189" s="13" t="s">
        <v>10</v>
      </c>
      <c r="D2189" s="13" t="str">
        <f t="shared" si="162"/>
        <v>SERVIZIO DI LAVANDERIA</v>
      </c>
      <c r="E2189" s="13" t="str">
        <f t="shared" si="160"/>
        <v>HOSPITAL SERVICE SRL</v>
      </c>
      <c r="F2189" s="13" t="str">
        <f t="shared" si="161"/>
        <v>SERVIZI AUSILIARI E SPESE PULIZIA</v>
      </c>
      <c r="G2189" s="15">
        <v>36.44</v>
      </c>
    </row>
    <row r="2190" spans="1:7" ht="22.5" x14ac:dyDescent="0.25">
      <c r="A2190" s="13">
        <v>14548</v>
      </c>
      <c r="B2190" s="14">
        <v>43452.548391203702</v>
      </c>
      <c r="C2190" s="13" t="s">
        <v>10</v>
      </c>
      <c r="D2190" s="13" t="str">
        <f t="shared" si="162"/>
        <v>SERVIZIO DI LAVANDERIA</v>
      </c>
      <c r="E2190" s="13" t="str">
        <f t="shared" si="160"/>
        <v>HOSPITAL SERVICE SRL</v>
      </c>
      <c r="F2190" s="13" t="str">
        <f t="shared" si="161"/>
        <v>SERVIZI AUSILIARI E SPESE PULIZIA</v>
      </c>
      <c r="G2190" s="15">
        <v>5345.52</v>
      </c>
    </row>
    <row r="2191" spans="1:7" ht="22.5" x14ac:dyDescent="0.25">
      <c r="A2191" s="13">
        <v>14549</v>
      </c>
      <c r="B2191" s="14">
        <v>43452.548391203702</v>
      </c>
      <c r="C2191" s="13" t="s">
        <v>10</v>
      </c>
      <c r="D2191" s="13" t="str">
        <f t="shared" si="162"/>
        <v>SERVIZIO DI LAVANDERIA</v>
      </c>
      <c r="E2191" s="13" t="str">
        <f t="shared" si="160"/>
        <v>HOSPITAL SERVICE SRL</v>
      </c>
      <c r="F2191" s="13" t="str">
        <f t="shared" si="161"/>
        <v>SERVIZI AUSILIARI E SPESE PULIZIA</v>
      </c>
      <c r="G2191" s="15">
        <v>1457.61</v>
      </c>
    </row>
    <row r="2192" spans="1:7" ht="22.5" x14ac:dyDescent="0.25">
      <c r="A2192" s="13">
        <v>14550</v>
      </c>
      <c r="B2192" s="14">
        <v>43452.548391203702</v>
      </c>
      <c r="C2192" s="13" t="s">
        <v>10</v>
      </c>
      <c r="D2192" s="13" t="str">
        <f t="shared" si="162"/>
        <v>SERVIZIO DI LAVANDERIA</v>
      </c>
      <c r="E2192" s="13" t="str">
        <f t="shared" si="160"/>
        <v>HOSPITAL SERVICE SRL</v>
      </c>
      <c r="F2192" s="13" t="str">
        <f t="shared" si="161"/>
        <v>SERVIZI AUSILIARI E SPESE PULIZIA</v>
      </c>
      <c r="G2192" s="15">
        <v>608.37</v>
      </c>
    </row>
    <row r="2193" spans="1:7" ht="22.5" x14ac:dyDescent="0.25">
      <c r="A2193" s="13">
        <v>14551</v>
      </c>
      <c r="B2193" s="14">
        <v>43452.548391203702</v>
      </c>
      <c r="C2193" s="13" t="s">
        <v>10</v>
      </c>
      <c r="D2193" s="13" t="str">
        <f t="shared" si="162"/>
        <v>SERVIZIO DI LAVANDERIA</v>
      </c>
      <c r="E2193" s="13" t="str">
        <f t="shared" si="160"/>
        <v>HOSPITAL SERVICE SRL</v>
      </c>
      <c r="F2193" s="13" t="str">
        <f t="shared" si="161"/>
        <v>SERVIZI AUSILIARI E SPESE PULIZIA</v>
      </c>
      <c r="G2193" s="15">
        <v>11017.26</v>
      </c>
    </row>
    <row r="2194" spans="1:7" ht="22.5" x14ac:dyDescent="0.25">
      <c r="A2194" s="13">
        <v>14552</v>
      </c>
      <c r="B2194" s="14">
        <v>43452.548391203702</v>
      </c>
      <c r="C2194" s="13" t="s">
        <v>10</v>
      </c>
      <c r="D2194" s="13" t="str">
        <f t="shared" si="162"/>
        <v>SERVIZIO DI LAVANDERIA</v>
      </c>
      <c r="E2194" s="13" t="str">
        <f t="shared" si="160"/>
        <v>HOSPITAL SERVICE SRL</v>
      </c>
      <c r="F2194" s="13" t="str">
        <f t="shared" si="161"/>
        <v>SERVIZI AUSILIARI E SPESE PULIZIA</v>
      </c>
      <c r="G2194" s="15">
        <v>2946.37</v>
      </c>
    </row>
    <row r="2195" spans="1:7" ht="33.75" x14ac:dyDescent="0.25">
      <c r="A2195" s="13">
        <v>14553</v>
      </c>
      <c r="B2195" s="14">
        <v>43453.386423611111</v>
      </c>
      <c r="C2195" s="13" t="s">
        <v>10</v>
      </c>
      <c r="D2195" s="13" t="str">
        <f>"DISINFETTANTI, PRODOTTI PER STERILIZZAZIONE E DISPOSITIVI VARI S"</f>
        <v>DISINFETTANTI, PRODOTTI PER STERILIZZAZIONE E DISPOSITIVI VARI S</v>
      </c>
      <c r="E2195" s="13" t="str">
        <f>"ID &amp; CO. SRL"</f>
        <v>ID &amp; CO. SRL</v>
      </c>
      <c r="F2195" s="13" t="s">
        <v>14</v>
      </c>
      <c r="G2195" s="15">
        <v>740.48</v>
      </c>
    </row>
    <row r="2196" spans="1:7" ht="22.5" x14ac:dyDescent="0.25">
      <c r="A2196" s="13">
        <v>14554</v>
      </c>
      <c r="B2196" s="14">
        <v>43453.386435185188</v>
      </c>
      <c r="C2196" s="13" t="s">
        <v>10</v>
      </c>
      <c r="D2196" s="13" t="str">
        <f t="shared" ref="D2196:D2213" si="163">"MATERIALE DIAGNOSTICO (W)"</f>
        <v>MATERIALE DIAGNOSTICO (W)</v>
      </c>
      <c r="E2196" s="13" t="str">
        <f t="shared" ref="E2196:E2213" si="164">"INSTRUMENTATION LABORATORY SPA"</f>
        <v>INSTRUMENTATION LABORATORY SPA</v>
      </c>
      <c r="F2196" s="13" t="s">
        <v>14</v>
      </c>
      <c r="G2196" s="15">
        <v>2326</v>
      </c>
    </row>
    <row r="2197" spans="1:7" ht="22.5" x14ac:dyDescent="0.25">
      <c r="A2197" s="13">
        <v>14555</v>
      </c>
      <c r="B2197" s="14">
        <v>43453.386435185188</v>
      </c>
      <c r="C2197" s="13" t="s">
        <v>10</v>
      </c>
      <c r="D2197" s="13" t="str">
        <f t="shared" si="163"/>
        <v>MATERIALE DIAGNOSTICO (W)</v>
      </c>
      <c r="E2197" s="13" t="str">
        <f t="shared" si="164"/>
        <v>INSTRUMENTATION LABORATORY SPA</v>
      </c>
      <c r="F2197" s="13" t="s">
        <v>14</v>
      </c>
      <c r="G2197" s="15">
        <v>12</v>
      </c>
    </row>
    <row r="2198" spans="1:7" ht="22.5" x14ac:dyDescent="0.25">
      <c r="A2198" s="13">
        <v>14556</v>
      </c>
      <c r="B2198" s="14">
        <v>43453.386435185188</v>
      </c>
      <c r="C2198" s="13" t="s">
        <v>10</v>
      </c>
      <c r="D2198" s="13" t="str">
        <f t="shared" si="163"/>
        <v>MATERIALE DIAGNOSTICO (W)</v>
      </c>
      <c r="E2198" s="13" t="str">
        <f t="shared" si="164"/>
        <v>INSTRUMENTATION LABORATORY SPA</v>
      </c>
      <c r="F2198" s="13" t="s">
        <v>14</v>
      </c>
      <c r="G2198" s="15">
        <v>640</v>
      </c>
    </row>
    <row r="2199" spans="1:7" ht="22.5" x14ac:dyDescent="0.25">
      <c r="A2199" s="13">
        <v>14557</v>
      </c>
      <c r="B2199" s="14">
        <v>43453.386435185188</v>
      </c>
      <c r="C2199" s="13" t="s">
        <v>10</v>
      </c>
      <c r="D2199" s="13" t="str">
        <f t="shared" si="163"/>
        <v>MATERIALE DIAGNOSTICO (W)</v>
      </c>
      <c r="E2199" s="13" t="str">
        <f t="shared" si="164"/>
        <v>INSTRUMENTATION LABORATORY SPA</v>
      </c>
      <c r="F2199" s="13" t="s">
        <v>14</v>
      </c>
      <c r="G2199" s="15">
        <v>80</v>
      </c>
    </row>
    <row r="2200" spans="1:7" ht="22.5" x14ac:dyDescent="0.25">
      <c r="A2200" s="13">
        <v>14558</v>
      </c>
      <c r="B2200" s="14">
        <v>43453.386435185188</v>
      </c>
      <c r="C2200" s="13" t="s">
        <v>10</v>
      </c>
      <c r="D2200" s="13" t="str">
        <f t="shared" si="163"/>
        <v>MATERIALE DIAGNOSTICO (W)</v>
      </c>
      <c r="E2200" s="13" t="str">
        <f t="shared" si="164"/>
        <v>INSTRUMENTATION LABORATORY SPA</v>
      </c>
      <c r="F2200" s="13" t="s">
        <v>14</v>
      </c>
      <c r="G2200" s="15">
        <v>24</v>
      </c>
    </row>
    <row r="2201" spans="1:7" ht="22.5" x14ac:dyDescent="0.25">
      <c r="A2201" s="13">
        <v>14559</v>
      </c>
      <c r="B2201" s="14">
        <v>43453.386435185188</v>
      </c>
      <c r="C2201" s="13" t="s">
        <v>10</v>
      </c>
      <c r="D2201" s="13" t="str">
        <f t="shared" si="163"/>
        <v>MATERIALE DIAGNOSTICO (W)</v>
      </c>
      <c r="E2201" s="13" t="str">
        <f t="shared" si="164"/>
        <v>INSTRUMENTATION LABORATORY SPA</v>
      </c>
      <c r="F2201" s="13" t="s">
        <v>14</v>
      </c>
      <c r="G2201" s="15">
        <v>640</v>
      </c>
    </row>
    <row r="2202" spans="1:7" ht="22.5" x14ac:dyDescent="0.25">
      <c r="A2202" s="13">
        <v>14560</v>
      </c>
      <c r="B2202" s="14">
        <v>43453.386435185188</v>
      </c>
      <c r="C2202" s="13" t="s">
        <v>10</v>
      </c>
      <c r="D2202" s="13" t="str">
        <f t="shared" si="163"/>
        <v>MATERIALE DIAGNOSTICO (W)</v>
      </c>
      <c r="E2202" s="13" t="str">
        <f t="shared" si="164"/>
        <v>INSTRUMENTATION LABORATORY SPA</v>
      </c>
      <c r="F2202" s="13" t="s">
        <v>14</v>
      </c>
      <c r="G2202" s="15">
        <v>640</v>
      </c>
    </row>
    <row r="2203" spans="1:7" ht="22.5" x14ac:dyDescent="0.25">
      <c r="A2203" s="13">
        <v>14561</v>
      </c>
      <c r="B2203" s="14">
        <v>43453.386435185188</v>
      </c>
      <c r="C2203" s="13" t="s">
        <v>10</v>
      </c>
      <c r="D2203" s="13" t="str">
        <f t="shared" si="163"/>
        <v>MATERIALE DIAGNOSTICO (W)</v>
      </c>
      <c r="E2203" s="13" t="str">
        <f t="shared" si="164"/>
        <v>INSTRUMENTATION LABORATORY SPA</v>
      </c>
      <c r="F2203" s="13" t="s">
        <v>14</v>
      </c>
      <c r="G2203" s="15">
        <v>640</v>
      </c>
    </row>
    <row r="2204" spans="1:7" ht="22.5" x14ac:dyDescent="0.25">
      <c r="A2204" s="13">
        <v>14562</v>
      </c>
      <c r="B2204" s="14">
        <v>43453.386435185188</v>
      </c>
      <c r="C2204" s="13" t="s">
        <v>10</v>
      </c>
      <c r="D2204" s="13" t="str">
        <f t="shared" si="163"/>
        <v>MATERIALE DIAGNOSTICO (W)</v>
      </c>
      <c r="E2204" s="13" t="str">
        <f t="shared" si="164"/>
        <v>INSTRUMENTATION LABORATORY SPA</v>
      </c>
      <c r="F2204" s="13" t="s">
        <v>14</v>
      </c>
      <c r="G2204" s="15">
        <v>12</v>
      </c>
    </row>
    <row r="2205" spans="1:7" ht="22.5" x14ac:dyDescent="0.25">
      <c r="A2205" s="13">
        <v>14563</v>
      </c>
      <c r="B2205" s="14">
        <v>43453.386435185188</v>
      </c>
      <c r="C2205" s="13" t="s">
        <v>10</v>
      </c>
      <c r="D2205" s="13" t="str">
        <f t="shared" si="163"/>
        <v>MATERIALE DIAGNOSTICO (W)</v>
      </c>
      <c r="E2205" s="13" t="str">
        <f t="shared" si="164"/>
        <v>INSTRUMENTATION LABORATORY SPA</v>
      </c>
      <c r="F2205" s="13" t="s">
        <v>14</v>
      </c>
      <c r="G2205" s="15">
        <v>80</v>
      </c>
    </row>
    <row r="2206" spans="1:7" ht="22.5" x14ac:dyDescent="0.25">
      <c r="A2206" s="13">
        <v>14564</v>
      </c>
      <c r="B2206" s="14">
        <v>43453.386435185188</v>
      </c>
      <c r="C2206" s="13" t="s">
        <v>10</v>
      </c>
      <c r="D2206" s="13" t="str">
        <f t="shared" si="163"/>
        <v>MATERIALE DIAGNOSTICO (W)</v>
      </c>
      <c r="E2206" s="13" t="str">
        <f t="shared" si="164"/>
        <v>INSTRUMENTATION LABORATORY SPA</v>
      </c>
      <c r="F2206" s="13" t="s">
        <v>14</v>
      </c>
      <c r="G2206" s="15">
        <v>12</v>
      </c>
    </row>
    <row r="2207" spans="1:7" ht="22.5" x14ac:dyDescent="0.25">
      <c r="A2207" s="13">
        <v>14565</v>
      </c>
      <c r="B2207" s="14">
        <v>43453.386435185188</v>
      </c>
      <c r="C2207" s="13" t="s">
        <v>10</v>
      </c>
      <c r="D2207" s="13" t="str">
        <f t="shared" si="163"/>
        <v>MATERIALE DIAGNOSTICO (W)</v>
      </c>
      <c r="E2207" s="13" t="str">
        <f t="shared" si="164"/>
        <v>INSTRUMENTATION LABORATORY SPA</v>
      </c>
      <c r="F2207" s="13" t="s">
        <v>14</v>
      </c>
      <c r="G2207" s="15">
        <v>6</v>
      </c>
    </row>
    <row r="2208" spans="1:7" ht="22.5" x14ac:dyDescent="0.25">
      <c r="A2208" s="13">
        <v>14566</v>
      </c>
      <c r="B2208" s="14">
        <v>43453.386435185188</v>
      </c>
      <c r="C2208" s="13" t="s">
        <v>10</v>
      </c>
      <c r="D2208" s="13" t="str">
        <f t="shared" si="163"/>
        <v>MATERIALE DIAGNOSTICO (W)</v>
      </c>
      <c r="E2208" s="13" t="str">
        <f t="shared" si="164"/>
        <v>INSTRUMENTATION LABORATORY SPA</v>
      </c>
      <c r="F2208" s="13" t="s">
        <v>14</v>
      </c>
      <c r="G2208" s="15">
        <v>24</v>
      </c>
    </row>
    <row r="2209" spans="1:7" ht="22.5" x14ac:dyDescent="0.25">
      <c r="A2209" s="13">
        <v>14567</v>
      </c>
      <c r="B2209" s="14">
        <v>43453.386435185188</v>
      </c>
      <c r="C2209" s="13" t="s">
        <v>10</v>
      </c>
      <c r="D2209" s="13" t="str">
        <f t="shared" si="163"/>
        <v>MATERIALE DIAGNOSTICO (W)</v>
      </c>
      <c r="E2209" s="13" t="str">
        <f t="shared" si="164"/>
        <v>INSTRUMENTATION LABORATORY SPA</v>
      </c>
      <c r="F2209" s="13" t="s">
        <v>14</v>
      </c>
      <c r="G2209" s="15">
        <v>80</v>
      </c>
    </row>
    <row r="2210" spans="1:7" ht="22.5" x14ac:dyDescent="0.25">
      <c r="A2210" s="13">
        <v>14568</v>
      </c>
      <c r="B2210" s="14">
        <v>43453.386435185188</v>
      </c>
      <c r="C2210" s="13" t="s">
        <v>10</v>
      </c>
      <c r="D2210" s="13" t="str">
        <f t="shared" si="163"/>
        <v>MATERIALE DIAGNOSTICO (W)</v>
      </c>
      <c r="E2210" s="13" t="str">
        <f t="shared" si="164"/>
        <v>INSTRUMENTATION LABORATORY SPA</v>
      </c>
      <c r="F2210" s="13" t="s">
        <v>14</v>
      </c>
      <c r="G2210" s="15">
        <v>80</v>
      </c>
    </row>
    <row r="2211" spans="1:7" ht="22.5" x14ac:dyDescent="0.25">
      <c r="A2211" s="13">
        <v>14569</v>
      </c>
      <c r="B2211" s="14">
        <v>43453.386435185188</v>
      </c>
      <c r="C2211" s="13" t="s">
        <v>10</v>
      </c>
      <c r="D2211" s="13" t="str">
        <f t="shared" si="163"/>
        <v>MATERIALE DIAGNOSTICO (W)</v>
      </c>
      <c r="E2211" s="13" t="str">
        <f t="shared" si="164"/>
        <v>INSTRUMENTATION LABORATORY SPA</v>
      </c>
      <c r="F2211" s="13" t="s">
        <v>14</v>
      </c>
      <c r="G2211" s="15">
        <v>80</v>
      </c>
    </row>
    <row r="2212" spans="1:7" ht="22.5" x14ac:dyDescent="0.25">
      <c r="A2212" s="13">
        <v>14570</v>
      </c>
      <c r="B2212" s="14">
        <v>43453.386435185188</v>
      </c>
      <c r="C2212" s="13" t="s">
        <v>10</v>
      </c>
      <c r="D2212" s="13" t="str">
        <f t="shared" si="163"/>
        <v>MATERIALE DIAGNOSTICO (W)</v>
      </c>
      <c r="E2212" s="13" t="str">
        <f t="shared" si="164"/>
        <v>INSTRUMENTATION LABORATORY SPA</v>
      </c>
      <c r="F2212" s="13" t="s">
        <v>14</v>
      </c>
      <c r="G2212" s="15">
        <v>640</v>
      </c>
    </row>
    <row r="2213" spans="1:7" ht="22.5" x14ac:dyDescent="0.25">
      <c r="A2213" s="13">
        <v>14571</v>
      </c>
      <c r="B2213" s="14">
        <v>43453.386435185188</v>
      </c>
      <c r="C2213" s="13" t="s">
        <v>10</v>
      </c>
      <c r="D2213" s="13" t="str">
        <f t="shared" si="163"/>
        <v>MATERIALE DIAGNOSTICO (W)</v>
      </c>
      <c r="E2213" s="13" t="str">
        <f t="shared" si="164"/>
        <v>INSTRUMENTATION LABORATORY SPA</v>
      </c>
      <c r="F2213" s="13" t="s">
        <v>14</v>
      </c>
      <c r="G2213" s="15">
        <v>640</v>
      </c>
    </row>
    <row r="2214" spans="1:7" ht="22.5" x14ac:dyDescent="0.25">
      <c r="A2214" s="13">
        <v>14572</v>
      </c>
      <c r="B2214" s="14">
        <v>43453.386435185188</v>
      </c>
      <c r="C2214" s="13" t="s">
        <v>10</v>
      </c>
      <c r="D2214" s="13" t="str">
        <f>"PRODOTTI FARMACEUTICI CON AIC"</f>
        <v>PRODOTTI FARMACEUTICI CON AIC</v>
      </c>
      <c r="E2214" s="13" t="str">
        <f>"INDIVIOR ITALIA SRL"</f>
        <v>INDIVIOR ITALIA SRL</v>
      </c>
      <c r="F2214" s="13" t="s">
        <v>14</v>
      </c>
      <c r="G2214" s="15">
        <v>9.06</v>
      </c>
    </row>
    <row r="2215" spans="1:7" ht="22.5" x14ac:dyDescent="0.25">
      <c r="A2215" s="13">
        <v>14573</v>
      </c>
      <c r="B2215" s="14">
        <v>43453.386435185188</v>
      </c>
      <c r="C2215" s="13" t="s">
        <v>10</v>
      </c>
      <c r="D2215" s="13" t="str">
        <f>"PRODOTTI FARMACEUTICI CON AIC"</f>
        <v>PRODOTTI FARMACEUTICI CON AIC</v>
      </c>
      <c r="E2215" s="13" t="str">
        <f>"INNOVA PHARMA SPA"</f>
        <v>INNOVA PHARMA SPA</v>
      </c>
      <c r="F2215" s="13" t="s">
        <v>14</v>
      </c>
      <c r="G2215" s="15">
        <v>549.1</v>
      </c>
    </row>
    <row r="2216" spans="1:7" ht="22.5" x14ac:dyDescent="0.25">
      <c r="A2216" s="13">
        <v>14574</v>
      </c>
      <c r="B2216" s="14">
        <v>43453.386446759258</v>
      </c>
      <c r="C2216" s="13" t="s">
        <v>10</v>
      </c>
      <c r="D2216" s="13" t="str">
        <f>"MATERIALE DIAGNOSTICO (W)"</f>
        <v>MATERIALE DIAGNOSTICO (W)</v>
      </c>
      <c r="E2216" s="13" t="str">
        <f>"INSTRUMENTATION LABORATORY SPA"</f>
        <v>INSTRUMENTATION LABORATORY SPA</v>
      </c>
      <c r="F2216" s="13" t="s">
        <v>14</v>
      </c>
      <c r="G2216" s="15">
        <v>188.8</v>
      </c>
    </row>
    <row r="2217" spans="1:7" ht="22.5" x14ac:dyDescent="0.25">
      <c r="A2217" s="13">
        <v>14575</v>
      </c>
      <c r="B2217" s="14">
        <v>43453.386446759258</v>
      </c>
      <c r="C2217" s="13" t="s">
        <v>10</v>
      </c>
      <c r="D2217" s="13" t="str">
        <f t="shared" ref="D2217:D2224" si="165">"MATERIALE PROTESICO"</f>
        <v>MATERIALE PROTESICO</v>
      </c>
      <c r="E2217" s="13" t="str">
        <f t="shared" ref="E2217:E2224" si="166">"INTRAUMA SPA"</f>
        <v>INTRAUMA SPA</v>
      </c>
      <c r="F2217" s="13" t="s">
        <v>14</v>
      </c>
      <c r="G2217" s="15">
        <v>163.59</v>
      </c>
    </row>
    <row r="2218" spans="1:7" ht="22.5" x14ac:dyDescent="0.25">
      <c r="A2218" s="13">
        <v>14576</v>
      </c>
      <c r="B2218" s="14">
        <v>43453.386446759258</v>
      </c>
      <c r="C2218" s="13" t="s">
        <v>10</v>
      </c>
      <c r="D2218" s="13" t="str">
        <f t="shared" si="165"/>
        <v>MATERIALE PROTESICO</v>
      </c>
      <c r="E2218" s="13" t="str">
        <f t="shared" si="166"/>
        <v>INTRAUMA SPA</v>
      </c>
      <c r="F2218" s="13" t="s">
        <v>14</v>
      </c>
      <c r="G2218" s="15">
        <v>101.75</v>
      </c>
    </row>
    <row r="2219" spans="1:7" ht="22.5" x14ac:dyDescent="0.25">
      <c r="A2219" s="13">
        <v>14577</v>
      </c>
      <c r="B2219" s="14">
        <v>43453.386446759258</v>
      </c>
      <c r="C2219" s="13" t="s">
        <v>10</v>
      </c>
      <c r="D2219" s="13" t="str">
        <f t="shared" si="165"/>
        <v>MATERIALE PROTESICO</v>
      </c>
      <c r="E2219" s="13" t="str">
        <f t="shared" si="166"/>
        <v>INTRAUMA SPA</v>
      </c>
      <c r="F2219" s="13" t="s">
        <v>14</v>
      </c>
      <c r="G2219" s="15">
        <v>885.78</v>
      </c>
    </row>
    <row r="2220" spans="1:7" ht="22.5" x14ac:dyDescent="0.25">
      <c r="A2220" s="13">
        <v>14578</v>
      </c>
      <c r="B2220" s="14">
        <v>43453.386446759258</v>
      </c>
      <c r="C2220" s="13" t="s">
        <v>10</v>
      </c>
      <c r="D2220" s="13" t="str">
        <f t="shared" si="165"/>
        <v>MATERIALE PROTESICO</v>
      </c>
      <c r="E2220" s="13" t="str">
        <f t="shared" si="166"/>
        <v>INTRAUMA SPA</v>
      </c>
      <c r="F2220" s="13" t="s">
        <v>14</v>
      </c>
      <c r="G2220" s="15">
        <v>1163.75</v>
      </c>
    </row>
    <row r="2221" spans="1:7" ht="22.5" x14ac:dyDescent="0.25">
      <c r="A2221" s="13">
        <v>14579</v>
      </c>
      <c r="B2221" s="14">
        <v>43453.386446759258</v>
      </c>
      <c r="C2221" s="13" t="s">
        <v>10</v>
      </c>
      <c r="D2221" s="13" t="str">
        <f t="shared" si="165"/>
        <v>MATERIALE PROTESICO</v>
      </c>
      <c r="E2221" s="13" t="str">
        <f t="shared" si="166"/>
        <v>INTRAUMA SPA</v>
      </c>
      <c r="F2221" s="13" t="s">
        <v>14</v>
      </c>
      <c r="G2221" s="15">
        <v>1058.75</v>
      </c>
    </row>
    <row r="2222" spans="1:7" ht="22.5" x14ac:dyDescent="0.25">
      <c r="A2222" s="13">
        <v>14580</v>
      </c>
      <c r="B2222" s="14">
        <v>43453.386446759258</v>
      </c>
      <c r="C2222" s="13" t="s">
        <v>10</v>
      </c>
      <c r="D2222" s="13" t="str">
        <f t="shared" si="165"/>
        <v>MATERIALE PROTESICO</v>
      </c>
      <c r="E2222" s="13" t="str">
        <f t="shared" si="166"/>
        <v>INTRAUMA SPA</v>
      </c>
      <c r="F2222" s="13" t="s">
        <v>14</v>
      </c>
      <c r="G2222" s="15">
        <v>1058.75</v>
      </c>
    </row>
    <row r="2223" spans="1:7" ht="22.5" x14ac:dyDescent="0.25">
      <c r="A2223" s="13">
        <v>14581</v>
      </c>
      <c r="B2223" s="14">
        <v>43453.386446759258</v>
      </c>
      <c r="C2223" s="13" t="s">
        <v>10</v>
      </c>
      <c r="D2223" s="13" t="str">
        <f t="shared" si="165"/>
        <v>MATERIALE PROTESICO</v>
      </c>
      <c r="E2223" s="13" t="str">
        <f t="shared" si="166"/>
        <v>INTRAUMA SPA</v>
      </c>
      <c r="F2223" s="13" t="s">
        <v>14</v>
      </c>
      <c r="G2223" s="15">
        <v>1058.75</v>
      </c>
    </row>
    <row r="2224" spans="1:7" ht="22.5" x14ac:dyDescent="0.25">
      <c r="A2224" s="13">
        <v>14582</v>
      </c>
      <c r="B2224" s="14">
        <v>43453.386446759258</v>
      </c>
      <c r="C2224" s="13" t="s">
        <v>10</v>
      </c>
      <c r="D2224" s="13" t="str">
        <f t="shared" si="165"/>
        <v>MATERIALE PROTESICO</v>
      </c>
      <c r="E2224" s="13" t="str">
        <f t="shared" si="166"/>
        <v>INTRAUMA SPA</v>
      </c>
      <c r="F2224" s="13" t="s">
        <v>14</v>
      </c>
      <c r="G2224" s="15">
        <v>678.89</v>
      </c>
    </row>
    <row r="2225" spans="1:7" ht="22.5" x14ac:dyDescent="0.25">
      <c r="A2225" s="13">
        <v>14583</v>
      </c>
      <c r="B2225" s="14">
        <v>43453.386446759258</v>
      </c>
      <c r="C2225" s="13" t="s">
        <v>10</v>
      </c>
      <c r="D2225" s="13" t="str">
        <f>"PRESIDI MEDICO-CHIRURGICI SPECIALISTICI R"</f>
        <v>PRESIDI MEDICO-CHIRURGICI SPECIALISTICI R</v>
      </c>
      <c r="E2225" s="13" t="str">
        <f>"INTERSURGICAL SPA"</f>
        <v>INTERSURGICAL SPA</v>
      </c>
      <c r="F2225" s="13" t="s">
        <v>14</v>
      </c>
      <c r="G2225" s="15">
        <v>1545</v>
      </c>
    </row>
    <row r="2226" spans="1:7" ht="22.5" x14ac:dyDescent="0.25">
      <c r="A2226" s="13">
        <v>14584</v>
      </c>
      <c r="B2226" s="14">
        <v>43453.386458333334</v>
      </c>
      <c r="C2226" s="13" t="s">
        <v>10</v>
      </c>
      <c r="D2226" s="13" t="str">
        <f>"FARMACI FILE F"</f>
        <v>FARMACI FILE F</v>
      </c>
      <c r="E2226" s="13" t="str">
        <f>"JANSSEN-CILAG SPA"</f>
        <v>JANSSEN-CILAG SPA</v>
      </c>
      <c r="F2226" s="13" t="s">
        <v>14</v>
      </c>
      <c r="G2226" s="15">
        <v>2353.9</v>
      </c>
    </row>
    <row r="2227" spans="1:7" ht="22.5" x14ac:dyDescent="0.25">
      <c r="A2227" s="13">
        <v>14585</v>
      </c>
      <c r="B2227" s="14">
        <v>43453.386458333334</v>
      </c>
      <c r="C2227" s="13" t="s">
        <v>10</v>
      </c>
      <c r="D2227" s="13" t="str">
        <f>"FARMACI FILE F"</f>
        <v>FARMACI FILE F</v>
      </c>
      <c r="E2227" s="13" t="str">
        <f>"JANSSEN-CILAG SPA"</f>
        <v>JANSSEN-CILAG SPA</v>
      </c>
      <c r="F2227" s="13" t="s">
        <v>14</v>
      </c>
      <c r="G2227" s="15">
        <v>2353.9</v>
      </c>
    </row>
    <row r="2228" spans="1:7" ht="22.5" x14ac:dyDescent="0.25">
      <c r="A2228" s="13">
        <v>14586</v>
      </c>
      <c r="B2228" s="14">
        <v>43453.386458333334</v>
      </c>
      <c r="C2228" s="13" t="s">
        <v>10</v>
      </c>
      <c r="D2228" s="13" t="str">
        <f>"FARMACI FILE F"</f>
        <v>FARMACI FILE F</v>
      </c>
      <c r="E2228" s="13" t="str">
        <f>"JANSSEN-CILAG SPA"</f>
        <v>JANSSEN-CILAG SPA</v>
      </c>
      <c r="F2228" s="13" t="s">
        <v>14</v>
      </c>
      <c r="G2228" s="15">
        <v>4707.8</v>
      </c>
    </row>
    <row r="2229" spans="1:7" ht="22.5" x14ac:dyDescent="0.25">
      <c r="A2229" s="13">
        <v>14587</v>
      </c>
      <c r="B2229" s="14">
        <v>43453.386458333334</v>
      </c>
      <c r="C2229" s="13" t="s">
        <v>10</v>
      </c>
      <c r="D2229" s="13" t="str">
        <f t="shared" ref="D2229:D2237" si="167">"MATERIALE PROTESICO"</f>
        <v>MATERIALE PROTESICO</v>
      </c>
      <c r="E2229" s="13" t="str">
        <f>"INTRAUMA SPA"</f>
        <v>INTRAUMA SPA</v>
      </c>
      <c r="F2229" s="13" t="s">
        <v>14</v>
      </c>
      <c r="G2229" s="15">
        <v>892.5</v>
      </c>
    </row>
    <row r="2230" spans="1:7" ht="22.5" x14ac:dyDescent="0.25">
      <c r="A2230" s="13">
        <v>14588</v>
      </c>
      <c r="B2230" s="14">
        <v>43453.386458333334</v>
      </c>
      <c r="C2230" s="13" t="s">
        <v>10</v>
      </c>
      <c r="D2230" s="13" t="str">
        <f t="shared" si="167"/>
        <v>MATERIALE PROTESICO</v>
      </c>
      <c r="E2230" s="13" t="str">
        <f>"INTRAUMA SPA"</f>
        <v>INTRAUMA SPA</v>
      </c>
      <c r="F2230" s="13" t="s">
        <v>14</v>
      </c>
      <c r="G2230" s="15">
        <v>1051.93</v>
      </c>
    </row>
    <row r="2231" spans="1:7" ht="22.5" x14ac:dyDescent="0.25">
      <c r="A2231" s="13">
        <v>14589</v>
      </c>
      <c r="B2231" s="14">
        <v>43453.386458333334</v>
      </c>
      <c r="C2231" s="13" t="s">
        <v>10</v>
      </c>
      <c r="D2231" s="13" t="str">
        <f t="shared" si="167"/>
        <v>MATERIALE PROTESICO</v>
      </c>
      <c r="E2231" s="13" t="str">
        <f t="shared" ref="E2231:E2237" si="168">"JOHNSON &amp; JOHNSON MEDICAL SPA"</f>
        <v>JOHNSON &amp; JOHNSON MEDICAL SPA</v>
      </c>
      <c r="F2231" s="13" t="s">
        <v>14</v>
      </c>
      <c r="G2231" s="15">
        <v>528.62</v>
      </c>
    </row>
    <row r="2232" spans="1:7" ht="22.5" x14ac:dyDescent="0.25">
      <c r="A2232" s="13">
        <v>14590</v>
      </c>
      <c r="B2232" s="14">
        <v>43453.386458333334</v>
      </c>
      <c r="C2232" s="13" t="s">
        <v>10</v>
      </c>
      <c r="D2232" s="13" t="str">
        <f t="shared" si="167"/>
        <v>MATERIALE PROTESICO</v>
      </c>
      <c r="E2232" s="13" t="str">
        <f t="shared" si="168"/>
        <v>JOHNSON &amp; JOHNSON MEDICAL SPA</v>
      </c>
      <c r="F2232" s="13" t="s">
        <v>14</v>
      </c>
      <c r="G2232" s="15">
        <v>2884.97</v>
      </c>
    </row>
    <row r="2233" spans="1:7" ht="22.5" x14ac:dyDescent="0.25">
      <c r="A2233" s="13">
        <v>14591</v>
      </c>
      <c r="B2233" s="14">
        <v>43453.386458333334</v>
      </c>
      <c r="C2233" s="13" t="s">
        <v>10</v>
      </c>
      <c r="D2233" s="13" t="str">
        <f t="shared" si="167"/>
        <v>MATERIALE PROTESICO</v>
      </c>
      <c r="E2233" s="13" t="str">
        <f t="shared" si="168"/>
        <v>JOHNSON &amp; JOHNSON MEDICAL SPA</v>
      </c>
      <c r="F2233" s="13" t="s">
        <v>14</v>
      </c>
      <c r="G2233" s="15">
        <v>57.6</v>
      </c>
    </row>
    <row r="2234" spans="1:7" ht="22.5" x14ac:dyDescent="0.25">
      <c r="A2234" s="13">
        <v>14592</v>
      </c>
      <c r="B2234" s="14">
        <v>43453.386458333334</v>
      </c>
      <c r="C2234" s="13" t="s">
        <v>10</v>
      </c>
      <c r="D2234" s="13" t="str">
        <f t="shared" si="167"/>
        <v>MATERIALE PROTESICO</v>
      </c>
      <c r="E2234" s="13" t="str">
        <f t="shared" si="168"/>
        <v>JOHNSON &amp; JOHNSON MEDICAL SPA</v>
      </c>
      <c r="F2234" s="13" t="s">
        <v>14</v>
      </c>
      <c r="G2234" s="15">
        <v>29.66</v>
      </c>
    </row>
    <row r="2235" spans="1:7" ht="22.5" x14ac:dyDescent="0.25">
      <c r="A2235" s="13">
        <v>14593</v>
      </c>
      <c r="B2235" s="14">
        <v>43453.386458333334</v>
      </c>
      <c r="C2235" s="13" t="s">
        <v>10</v>
      </c>
      <c r="D2235" s="13" t="str">
        <f t="shared" si="167"/>
        <v>MATERIALE PROTESICO</v>
      </c>
      <c r="E2235" s="13" t="str">
        <f t="shared" si="168"/>
        <v>JOHNSON &amp; JOHNSON MEDICAL SPA</v>
      </c>
      <c r="F2235" s="13" t="s">
        <v>14</v>
      </c>
      <c r="G2235" s="15">
        <v>29.66</v>
      </c>
    </row>
    <row r="2236" spans="1:7" ht="22.5" x14ac:dyDescent="0.25">
      <c r="A2236" s="13">
        <v>14594</v>
      </c>
      <c r="B2236" s="14">
        <v>43453.386458333334</v>
      </c>
      <c r="C2236" s="13" t="s">
        <v>10</v>
      </c>
      <c r="D2236" s="13" t="str">
        <f t="shared" si="167"/>
        <v>MATERIALE PROTESICO</v>
      </c>
      <c r="E2236" s="13" t="str">
        <f t="shared" si="168"/>
        <v>JOHNSON &amp; JOHNSON MEDICAL SPA</v>
      </c>
      <c r="F2236" s="13" t="s">
        <v>14</v>
      </c>
      <c r="G2236" s="15">
        <v>29.66</v>
      </c>
    </row>
    <row r="2237" spans="1:7" ht="22.5" x14ac:dyDescent="0.25">
      <c r="A2237" s="13">
        <v>14595</v>
      </c>
      <c r="B2237" s="14">
        <v>43453.386458333334</v>
      </c>
      <c r="C2237" s="13" t="s">
        <v>10</v>
      </c>
      <c r="D2237" s="13" t="str">
        <f t="shared" si="167"/>
        <v>MATERIALE PROTESICO</v>
      </c>
      <c r="E2237" s="13" t="str">
        <f t="shared" si="168"/>
        <v>JOHNSON &amp; JOHNSON MEDICAL SPA</v>
      </c>
      <c r="F2237" s="13" t="s">
        <v>14</v>
      </c>
      <c r="G2237" s="15">
        <v>29.66</v>
      </c>
    </row>
    <row r="2238" spans="1:7" ht="22.5" x14ac:dyDescent="0.25">
      <c r="A2238" s="13">
        <v>14596</v>
      </c>
      <c r="B2238" s="14">
        <v>43453.386458333334</v>
      </c>
      <c r="C2238" s="13" t="s">
        <v>10</v>
      </c>
      <c r="D2238" s="13" t="str">
        <f>"PRODOTTI FARMACEUTICI CON AIC"</f>
        <v>PRODOTTI FARMACEUTICI CON AIC</v>
      </c>
      <c r="E2238" s="13" t="str">
        <f>"ISTITUTO BIOCHIMICO ITALIANO GIOVANNI LORENZINI SPA"</f>
        <v>ISTITUTO BIOCHIMICO ITALIANO GIOVANNI LORENZINI SPA</v>
      </c>
      <c r="F2238" s="13" t="s">
        <v>14</v>
      </c>
      <c r="G2238" s="15">
        <v>437.2</v>
      </c>
    </row>
    <row r="2239" spans="1:7" ht="22.5" x14ac:dyDescent="0.25">
      <c r="A2239" s="13">
        <v>14597</v>
      </c>
      <c r="B2239" s="14">
        <v>43453.386458333334</v>
      </c>
      <c r="C2239" s="13" t="s">
        <v>10</v>
      </c>
      <c r="D2239" s="13" t="str">
        <f>"PRODOTTI FARMACEUTICI CON AIC"</f>
        <v>PRODOTTI FARMACEUTICI CON AIC</v>
      </c>
      <c r="E2239" s="13" t="str">
        <f>"JANSSEN-CILAG SPA"</f>
        <v>JANSSEN-CILAG SPA</v>
      </c>
      <c r="F2239" s="13" t="s">
        <v>14</v>
      </c>
      <c r="G2239" s="15">
        <v>137.46</v>
      </c>
    </row>
    <row r="2240" spans="1:7" ht="22.5" x14ac:dyDescent="0.25">
      <c r="A2240" s="13">
        <v>14598</v>
      </c>
      <c r="B2240" s="14">
        <v>43453.386469907404</v>
      </c>
      <c r="C2240" s="13" t="s">
        <v>10</v>
      </c>
      <c r="D2240" s="13" t="str">
        <f t="shared" ref="D2240:D2262" si="169">"MATERIALE PROTESICO"</f>
        <v>MATERIALE PROTESICO</v>
      </c>
      <c r="E2240" s="13" t="str">
        <f t="shared" ref="E2240:E2303" si="170">"JOHNSON &amp; JOHNSON MEDICAL SPA"</f>
        <v>JOHNSON &amp; JOHNSON MEDICAL SPA</v>
      </c>
      <c r="F2240" s="13" t="s">
        <v>14</v>
      </c>
      <c r="G2240" s="15">
        <v>96</v>
      </c>
    </row>
    <row r="2241" spans="1:7" ht="22.5" x14ac:dyDescent="0.25">
      <c r="A2241" s="13">
        <v>14599</v>
      </c>
      <c r="B2241" s="14">
        <v>43453.386469907404</v>
      </c>
      <c r="C2241" s="13" t="s">
        <v>10</v>
      </c>
      <c r="D2241" s="13" t="str">
        <f t="shared" si="169"/>
        <v>MATERIALE PROTESICO</v>
      </c>
      <c r="E2241" s="13" t="str">
        <f t="shared" si="170"/>
        <v>JOHNSON &amp; JOHNSON MEDICAL SPA</v>
      </c>
      <c r="F2241" s="13" t="s">
        <v>14</v>
      </c>
      <c r="G2241" s="15">
        <v>48</v>
      </c>
    </row>
    <row r="2242" spans="1:7" ht="22.5" x14ac:dyDescent="0.25">
      <c r="A2242" s="13">
        <v>14600</v>
      </c>
      <c r="B2242" s="14">
        <v>43453.386469907404</v>
      </c>
      <c r="C2242" s="13" t="s">
        <v>10</v>
      </c>
      <c r="D2242" s="13" t="str">
        <f t="shared" si="169"/>
        <v>MATERIALE PROTESICO</v>
      </c>
      <c r="E2242" s="13" t="str">
        <f t="shared" si="170"/>
        <v>JOHNSON &amp; JOHNSON MEDICAL SPA</v>
      </c>
      <c r="F2242" s="13" t="s">
        <v>14</v>
      </c>
      <c r="G2242" s="15">
        <v>112</v>
      </c>
    </row>
    <row r="2243" spans="1:7" ht="22.5" x14ac:dyDescent="0.25">
      <c r="A2243" s="13">
        <v>14601</v>
      </c>
      <c r="B2243" s="14">
        <v>43453.386469907404</v>
      </c>
      <c r="C2243" s="13" t="s">
        <v>10</v>
      </c>
      <c r="D2243" s="13" t="str">
        <f t="shared" si="169"/>
        <v>MATERIALE PROTESICO</v>
      </c>
      <c r="E2243" s="13" t="str">
        <f t="shared" si="170"/>
        <v>JOHNSON &amp; JOHNSON MEDICAL SPA</v>
      </c>
      <c r="F2243" s="13" t="s">
        <v>14</v>
      </c>
      <c r="G2243" s="15">
        <v>384</v>
      </c>
    </row>
    <row r="2244" spans="1:7" ht="22.5" x14ac:dyDescent="0.25">
      <c r="A2244" s="13">
        <v>14602</v>
      </c>
      <c r="B2244" s="14">
        <v>43453.386469907404</v>
      </c>
      <c r="C2244" s="13" t="s">
        <v>10</v>
      </c>
      <c r="D2244" s="13" t="str">
        <f t="shared" si="169"/>
        <v>MATERIALE PROTESICO</v>
      </c>
      <c r="E2244" s="13" t="str">
        <f t="shared" si="170"/>
        <v>JOHNSON &amp; JOHNSON MEDICAL SPA</v>
      </c>
      <c r="F2244" s="13" t="s">
        <v>14</v>
      </c>
      <c r="G2244" s="15">
        <v>48</v>
      </c>
    </row>
    <row r="2245" spans="1:7" ht="22.5" x14ac:dyDescent="0.25">
      <c r="A2245" s="13">
        <v>14603</v>
      </c>
      <c r="B2245" s="14">
        <v>43453.386469907404</v>
      </c>
      <c r="C2245" s="13" t="s">
        <v>10</v>
      </c>
      <c r="D2245" s="13" t="str">
        <f t="shared" si="169"/>
        <v>MATERIALE PROTESICO</v>
      </c>
      <c r="E2245" s="13" t="str">
        <f t="shared" si="170"/>
        <v>JOHNSON &amp; JOHNSON MEDICAL SPA</v>
      </c>
      <c r="F2245" s="13" t="s">
        <v>14</v>
      </c>
      <c r="G2245" s="15">
        <v>391</v>
      </c>
    </row>
    <row r="2246" spans="1:7" ht="22.5" x14ac:dyDescent="0.25">
      <c r="A2246" s="13">
        <v>14604</v>
      </c>
      <c r="B2246" s="14">
        <v>43453.386469907404</v>
      </c>
      <c r="C2246" s="13" t="s">
        <v>10</v>
      </c>
      <c r="D2246" s="13" t="str">
        <f t="shared" si="169"/>
        <v>MATERIALE PROTESICO</v>
      </c>
      <c r="E2246" s="13" t="str">
        <f t="shared" si="170"/>
        <v>JOHNSON &amp; JOHNSON MEDICAL SPA</v>
      </c>
      <c r="F2246" s="13" t="s">
        <v>14</v>
      </c>
      <c r="G2246" s="15">
        <v>192</v>
      </c>
    </row>
    <row r="2247" spans="1:7" ht="22.5" x14ac:dyDescent="0.25">
      <c r="A2247" s="13">
        <v>14605</v>
      </c>
      <c r="B2247" s="14">
        <v>43453.386469907404</v>
      </c>
      <c r="C2247" s="13" t="s">
        <v>10</v>
      </c>
      <c r="D2247" s="13" t="str">
        <f t="shared" si="169"/>
        <v>MATERIALE PROTESICO</v>
      </c>
      <c r="E2247" s="13" t="str">
        <f t="shared" si="170"/>
        <v>JOHNSON &amp; JOHNSON MEDICAL SPA</v>
      </c>
      <c r="F2247" s="13" t="s">
        <v>14</v>
      </c>
      <c r="G2247" s="15">
        <v>117</v>
      </c>
    </row>
    <row r="2248" spans="1:7" ht="22.5" x14ac:dyDescent="0.25">
      <c r="A2248" s="13">
        <v>14606</v>
      </c>
      <c r="B2248" s="14">
        <v>43453.386469907404</v>
      </c>
      <c r="C2248" s="13" t="s">
        <v>10</v>
      </c>
      <c r="D2248" s="13" t="str">
        <f t="shared" si="169"/>
        <v>MATERIALE PROTESICO</v>
      </c>
      <c r="E2248" s="13" t="str">
        <f t="shared" si="170"/>
        <v>JOHNSON &amp; JOHNSON MEDICAL SPA</v>
      </c>
      <c r="F2248" s="13" t="s">
        <v>14</v>
      </c>
      <c r="G2248" s="15">
        <v>91</v>
      </c>
    </row>
    <row r="2249" spans="1:7" ht="22.5" x14ac:dyDescent="0.25">
      <c r="A2249" s="13">
        <v>14607</v>
      </c>
      <c r="B2249" s="14">
        <v>43453.386469907404</v>
      </c>
      <c r="C2249" s="13" t="s">
        <v>10</v>
      </c>
      <c r="D2249" s="13" t="str">
        <f t="shared" si="169"/>
        <v>MATERIALE PROTESICO</v>
      </c>
      <c r="E2249" s="13" t="str">
        <f t="shared" si="170"/>
        <v>JOHNSON &amp; JOHNSON MEDICAL SPA</v>
      </c>
      <c r="F2249" s="13" t="s">
        <v>14</v>
      </c>
      <c r="G2249" s="15">
        <v>235</v>
      </c>
    </row>
    <row r="2250" spans="1:7" ht="22.5" x14ac:dyDescent="0.25">
      <c r="A2250" s="13">
        <v>14608</v>
      </c>
      <c r="B2250" s="14">
        <v>43453.386469907404</v>
      </c>
      <c r="C2250" s="13" t="s">
        <v>10</v>
      </c>
      <c r="D2250" s="13" t="str">
        <f t="shared" si="169"/>
        <v>MATERIALE PROTESICO</v>
      </c>
      <c r="E2250" s="13" t="str">
        <f t="shared" si="170"/>
        <v>JOHNSON &amp; JOHNSON MEDICAL SPA</v>
      </c>
      <c r="F2250" s="13" t="s">
        <v>14</v>
      </c>
      <c r="G2250" s="15">
        <v>412</v>
      </c>
    </row>
    <row r="2251" spans="1:7" ht="22.5" x14ac:dyDescent="0.25">
      <c r="A2251" s="13">
        <v>14609</v>
      </c>
      <c r="B2251" s="14">
        <v>43453.386469907404</v>
      </c>
      <c r="C2251" s="13" t="s">
        <v>10</v>
      </c>
      <c r="D2251" s="13" t="str">
        <f t="shared" si="169"/>
        <v>MATERIALE PROTESICO</v>
      </c>
      <c r="E2251" s="13" t="str">
        <f t="shared" si="170"/>
        <v>JOHNSON &amp; JOHNSON MEDICAL SPA</v>
      </c>
      <c r="F2251" s="13" t="s">
        <v>14</v>
      </c>
      <c r="G2251" s="15">
        <v>96</v>
      </c>
    </row>
    <row r="2252" spans="1:7" ht="22.5" x14ac:dyDescent="0.25">
      <c r="A2252" s="13">
        <v>14610</v>
      </c>
      <c r="B2252" s="14">
        <v>43453.386469907404</v>
      </c>
      <c r="C2252" s="13" t="s">
        <v>10</v>
      </c>
      <c r="D2252" s="13" t="str">
        <f t="shared" si="169"/>
        <v>MATERIALE PROTESICO</v>
      </c>
      <c r="E2252" s="13" t="str">
        <f t="shared" si="170"/>
        <v>JOHNSON &amp; JOHNSON MEDICAL SPA</v>
      </c>
      <c r="F2252" s="13" t="s">
        <v>14</v>
      </c>
      <c r="G2252" s="15">
        <v>119</v>
      </c>
    </row>
    <row r="2253" spans="1:7" ht="22.5" x14ac:dyDescent="0.25">
      <c r="A2253" s="13">
        <v>14611</v>
      </c>
      <c r="B2253" s="14">
        <v>43453.386469907404</v>
      </c>
      <c r="C2253" s="13" t="s">
        <v>10</v>
      </c>
      <c r="D2253" s="13" t="str">
        <f t="shared" si="169"/>
        <v>MATERIALE PROTESICO</v>
      </c>
      <c r="E2253" s="13" t="str">
        <f t="shared" si="170"/>
        <v>JOHNSON &amp; JOHNSON MEDICAL SPA</v>
      </c>
      <c r="F2253" s="13" t="s">
        <v>14</v>
      </c>
      <c r="G2253" s="15">
        <v>235</v>
      </c>
    </row>
    <row r="2254" spans="1:7" ht="22.5" x14ac:dyDescent="0.25">
      <c r="A2254" s="13">
        <v>14612</v>
      </c>
      <c r="B2254" s="14">
        <v>43453.386469907404</v>
      </c>
      <c r="C2254" s="13" t="s">
        <v>10</v>
      </c>
      <c r="D2254" s="13" t="str">
        <f t="shared" si="169"/>
        <v>MATERIALE PROTESICO</v>
      </c>
      <c r="E2254" s="13" t="str">
        <f t="shared" si="170"/>
        <v>JOHNSON &amp; JOHNSON MEDICAL SPA</v>
      </c>
      <c r="F2254" s="13" t="s">
        <v>14</v>
      </c>
      <c r="G2254" s="15">
        <v>317</v>
      </c>
    </row>
    <row r="2255" spans="1:7" ht="22.5" x14ac:dyDescent="0.25">
      <c r="A2255" s="13">
        <v>14613</v>
      </c>
      <c r="B2255" s="14">
        <v>43453.386469907404</v>
      </c>
      <c r="C2255" s="13" t="s">
        <v>10</v>
      </c>
      <c r="D2255" s="13" t="str">
        <f t="shared" si="169"/>
        <v>MATERIALE PROTESICO</v>
      </c>
      <c r="E2255" s="13" t="str">
        <f t="shared" si="170"/>
        <v>JOHNSON &amp; JOHNSON MEDICAL SPA</v>
      </c>
      <c r="F2255" s="13" t="s">
        <v>14</v>
      </c>
      <c r="G2255" s="15">
        <v>295</v>
      </c>
    </row>
    <row r="2256" spans="1:7" ht="22.5" x14ac:dyDescent="0.25">
      <c r="A2256" s="13">
        <v>14614</v>
      </c>
      <c r="B2256" s="14">
        <v>43453.386469907404</v>
      </c>
      <c r="C2256" s="13" t="s">
        <v>10</v>
      </c>
      <c r="D2256" s="13" t="str">
        <f t="shared" si="169"/>
        <v>MATERIALE PROTESICO</v>
      </c>
      <c r="E2256" s="13" t="str">
        <f t="shared" si="170"/>
        <v>JOHNSON &amp; JOHNSON MEDICAL SPA</v>
      </c>
      <c r="F2256" s="13" t="s">
        <v>14</v>
      </c>
      <c r="G2256" s="15">
        <v>712.15</v>
      </c>
    </row>
    <row r="2257" spans="1:7" ht="22.5" x14ac:dyDescent="0.25">
      <c r="A2257" s="13">
        <v>14615</v>
      </c>
      <c r="B2257" s="14">
        <v>43453.386469907404</v>
      </c>
      <c r="C2257" s="13" t="s">
        <v>10</v>
      </c>
      <c r="D2257" s="13" t="str">
        <f t="shared" si="169"/>
        <v>MATERIALE PROTESICO</v>
      </c>
      <c r="E2257" s="13" t="str">
        <f t="shared" si="170"/>
        <v>JOHNSON &amp; JOHNSON MEDICAL SPA</v>
      </c>
      <c r="F2257" s="13" t="s">
        <v>14</v>
      </c>
      <c r="G2257" s="15">
        <v>712.15</v>
      </c>
    </row>
    <row r="2258" spans="1:7" ht="22.5" x14ac:dyDescent="0.25">
      <c r="A2258" s="13">
        <v>14616</v>
      </c>
      <c r="B2258" s="14">
        <v>43453.386469907404</v>
      </c>
      <c r="C2258" s="13" t="s">
        <v>10</v>
      </c>
      <c r="D2258" s="13" t="str">
        <f t="shared" si="169"/>
        <v>MATERIALE PROTESICO</v>
      </c>
      <c r="E2258" s="13" t="str">
        <f t="shared" si="170"/>
        <v>JOHNSON &amp; JOHNSON MEDICAL SPA</v>
      </c>
      <c r="F2258" s="13" t="s">
        <v>14</v>
      </c>
      <c r="G2258" s="15">
        <v>95.04</v>
      </c>
    </row>
    <row r="2259" spans="1:7" ht="22.5" x14ac:dyDescent="0.25">
      <c r="A2259" s="13">
        <v>14617</v>
      </c>
      <c r="B2259" s="14">
        <v>43453.386469907404</v>
      </c>
      <c r="C2259" s="13" t="s">
        <v>10</v>
      </c>
      <c r="D2259" s="13" t="str">
        <f t="shared" si="169"/>
        <v>MATERIALE PROTESICO</v>
      </c>
      <c r="E2259" s="13" t="str">
        <f t="shared" si="170"/>
        <v>JOHNSON &amp; JOHNSON MEDICAL SPA</v>
      </c>
      <c r="F2259" s="13" t="s">
        <v>14</v>
      </c>
      <c r="G2259" s="15">
        <v>873.36</v>
      </c>
    </row>
    <row r="2260" spans="1:7" ht="22.5" x14ac:dyDescent="0.25">
      <c r="A2260" s="13">
        <v>14618</v>
      </c>
      <c r="B2260" s="14">
        <v>43453.386469907404</v>
      </c>
      <c r="C2260" s="13" t="s">
        <v>10</v>
      </c>
      <c r="D2260" s="13" t="str">
        <f t="shared" si="169"/>
        <v>MATERIALE PROTESICO</v>
      </c>
      <c r="E2260" s="13" t="str">
        <f t="shared" si="170"/>
        <v>JOHNSON &amp; JOHNSON MEDICAL SPA</v>
      </c>
      <c r="F2260" s="13" t="s">
        <v>14</v>
      </c>
      <c r="G2260" s="15">
        <v>332.64</v>
      </c>
    </row>
    <row r="2261" spans="1:7" ht="22.5" x14ac:dyDescent="0.25">
      <c r="A2261" s="13">
        <v>14619</v>
      </c>
      <c r="B2261" s="14">
        <v>43453.386469907404</v>
      </c>
      <c r="C2261" s="13" t="s">
        <v>10</v>
      </c>
      <c r="D2261" s="13" t="str">
        <f t="shared" si="169"/>
        <v>MATERIALE PROTESICO</v>
      </c>
      <c r="E2261" s="13" t="str">
        <f t="shared" si="170"/>
        <v>JOHNSON &amp; JOHNSON MEDICAL SPA</v>
      </c>
      <c r="F2261" s="13" t="s">
        <v>14</v>
      </c>
      <c r="G2261" s="15">
        <v>1073.52</v>
      </c>
    </row>
    <row r="2262" spans="1:7" ht="22.5" x14ac:dyDescent="0.25">
      <c r="A2262" s="13">
        <v>14620</v>
      </c>
      <c r="B2262" s="14">
        <v>43453.386469907404</v>
      </c>
      <c r="C2262" s="13" t="s">
        <v>10</v>
      </c>
      <c r="D2262" s="13" t="str">
        <f t="shared" si="169"/>
        <v>MATERIALE PROTESICO</v>
      </c>
      <c r="E2262" s="13" t="str">
        <f t="shared" si="170"/>
        <v>JOHNSON &amp; JOHNSON MEDICAL SPA</v>
      </c>
      <c r="F2262" s="13" t="s">
        <v>14</v>
      </c>
      <c r="G2262" s="15">
        <v>822.24</v>
      </c>
    </row>
    <row r="2263" spans="1:7" ht="22.5" x14ac:dyDescent="0.25">
      <c r="A2263" s="13">
        <v>14621</v>
      </c>
      <c r="B2263" s="14">
        <v>43453.386469907404</v>
      </c>
      <c r="C2263" s="13" t="s">
        <v>10</v>
      </c>
      <c r="D2263" s="13" t="str">
        <f>"STRUMENTARIO CHIRURGICO (K, L)"</f>
        <v>STRUMENTARIO CHIRURGICO (K, L)</v>
      </c>
      <c r="E2263" s="13" t="str">
        <f t="shared" si="170"/>
        <v>JOHNSON &amp; JOHNSON MEDICAL SPA</v>
      </c>
      <c r="F2263" s="13" t="s">
        <v>14</v>
      </c>
      <c r="G2263" s="15">
        <v>547.20000000000005</v>
      </c>
    </row>
    <row r="2264" spans="1:7" ht="22.5" x14ac:dyDescent="0.25">
      <c r="A2264" s="13">
        <v>14622</v>
      </c>
      <c r="B2264" s="14">
        <v>43453.386481481481</v>
      </c>
      <c r="C2264" s="13" t="s">
        <v>10</v>
      </c>
      <c r="D2264" s="13" t="str">
        <f t="shared" ref="D2264:D2273" si="171">"MATERIALE PROTESICO"</f>
        <v>MATERIALE PROTESICO</v>
      </c>
      <c r="E2264" s="13" t="str">
        <f t="shared" si="170"/>
        <v>JOHNSON &amp; JOHNSON MEDICAL SPA</v>
      </c>
      <c r="F2264" s="13" t="s">
        <v>14</v>
      </c>
      <c r="G2264" s="15">
        <v>487</v>
      </c>
    </row>
    <row r="2265" spans="1:7" ht="22.5" x14ac:dyDescent="0.25">
      <c r="A2265" s="13">
        <v>14623</v>
      </c>
      <c r="B2265" s="14">
        <v>43453.386481481481</v>
      </c>
      <c r="C2265" s="13" t="s">
        <v>10</v>
      </c>
      <c r="D2265" s="13" t="str">
        <f t="shared" si="171"/>
        <v>MATERIALE PROTESICO</v>
      </c>
      <c r="E2265" s="13" t="str">
        <f t="shared" si="170"/>
        <v>JOHNSON &amp; JOHNSON MEDICAL SPA</v>
      </c>
      <c r="F2265" s="13" t="s">
        <v>14</v>
      </c>
      <c r="G2265" s="15">
        <v>7</v>
      </c>
    </row>
    <row r="2266" spans="1:7" ht="22.5" x14ac:dyDescent="0.25">
      <c r="A2266" s="13">
        <v>14624</v>
      </c>
      <c r="B2266" s="14">
        <v>43453.386481481481</v>
      </c>
      <c r="C2266" s="13" t="s">
        <v>10</v>
      </c>
      <c r="D2266" s="13" t="str">
        <f t="shared" si="171"/>
        <v>MATERIALE PROTESICO</v>
      </c>
      <c r="E2266" s="13" t="str">
        <f t="shared" si="170"/>
        <v>JOHNSON &amp; JOHNSON MEDICAL SPA</v>
      </c>
      <c r="F2266" s="13" t="s">
        <v>14</v>
      </c>
      <c r="G2266" s="15">
        <v>54</v>
      </c>
    </row>
    <row r="2267" spans="1:7" ht="22.5" x14ac:dyDescent="0.25">
      <c r="A2267" s="13">
        <v>14625</v>
      </c>
      <c r="B2267" s="14">
        <v>43453.386481481481</v>
      </c>
      <c r="C2267" s="13" t="s">
        <v>10</v>
      </c>
      <c r="D2267" s="13" t="str">
        <f t="shared" si="171"/>
        <v>MATERIALE PROTESICO</v>
      </c>
      <c r="E2267" s="13" t="str">
        <f t="shared" si="170"/>
        <v>JOHNSON &amp; JOHNSON MEDICAL SPA</v>
      </c>
      <c r="F2267" s="13" t="s">
        <v>14</v>
      </c>
      <c r="G2267" s="15">
        <v>2752.65</v>
      </c>
    </row>
    <row r="2268" spans="1:7" ht="22.5" x14ac:dyDescent="0.25">
      <c r="A2268" s="13">
        <v>14626</v>
      </c>
      <c r="B2268" s="14">
        <v>43453.386481481481</v>
      </c>
      <c r="C2268" s="13" t="s">
        <v>10</v>
      </c>
      <c r="D2268" s="13" t="str">
        <f t="shared" si="171"/>
        <v>MATERIALE PROTESICO</v>
      </c>
      <c r="E2268" s="13" t="str">
        <f t="shared" si="170"/>
        <v>JOHNSON &amp; JOHNSON MEDICAL SPA</v>
      </c>
      <c r="F2268" s="13" t="s">
        <v>14</v>
      </c>
      <c r="G2268" s="15">
        <v>538.70000000000005</v>
      </c>
    </row>
    <row r="2269" spans="1:7" ht="22.5" x14ac:dyDescent="0.25">
      <c r="A2269" s="13">
        <v>14627</v>
      </c>
      <c r="B2269" s="14">
        <v>43453.386481481481</v>
      </c>
      <c r="C2269" s="13" t="s">
        <v>10</v>
      </c>
      <c r="D2269" s="13" t="str">
        <f t="shared" si="171"/>
        <v>MATERIALE PROTESICO</v>
      </c>
      <c r="E2269" s="13" t="str">
        <f t="shared" si="170"/>
        <v>JOHNSON &amp; JOHNSON MEDICAL SPA</v>
      </c>
      <c r="F2269" s="13" t="s">
        <v>14</v>
      </c>
      <c r="G2269" s="15">
        <v>175.5</v>
      </c>
    </row>
    <row r="2270" spans="1:7" ht="22.5" x14ac:dyDescent="0.25">
      <c r="A2270" s="13">
        <v>14628</v>
      </c>
      <c r="B2270" s="14">
        <v>43453.386481481481</v>
      </c>
      <c r="C2270" s="13" t="s">
        <v>10</v>
      </c>
      <c r="D2270" s="13" t="str">
        <f t="shared" si="171"/>
        <v>MATERIALE PROTESICO</v>
      </c>
      <c r="E2270" s="13" t="str">
        <f t="shared" si="170"/>
        <v>JOHNSON &amp; JOHNSON MEDICAL SPA</v>
      </c>
      <c r="F2270" s="13" t="s">
        <v>14</v>
      </c>
      <c r="G2270" s="15">
        <v>6.5</v>
      </c>
    </row>
    <row r="2271" spans="1:7" ht="22.5" x14ac:dyDescent="0.25">
      <c r="A2271" s="13">
        <v>14629</v>
      </c>
      <c r="B2271" s="14">
        <v>43453.386481481481</v>
      </c>
      <c r="C2271" s="13" t="s">
        <v>10</v>
      </c>
      <c r="D2271" s="13" t="str">
        <f t="shared" si="171"/>
        <v>MATERIALE PROTESICO</v>
      </c>
      <c r="E2271" s="13" t="str">
        <f t="shared" si="170"/>
        <v>JOHNSON &amp; JOHNSON MEDICAL SPA</v>
      </c>
      <c r="F2271" s="13" t="s">
        <v>14</v>
      </c>
      <c r="G2271" s="15">
        <v>20.149999999999999</v>
      </c>
    </row>
    <row r="2272" spans="1:7" ht="22.5" x14ac:dyDescent="0.25">
      <c r="A2272" s="13">
        <v>14630</v>
      </c>
      <c r="B2272" s="14">
        <v>43453.386481481481</v>
      </c>
      <c r="C2272" s="13" t="s">
        <v>10</v>
      </c>
      <c r="D2272" s="13" t="str">
        <f t="shared" si="171"/>
        <v>MATERIALE PROTESICO</v>
      </c>
      <c r="E2272" s="13" t="str">
        <f t="shared" si="170"/>
        <v>JOHNSON &amp; JOHNSON MEDICAL SPA</v>
      </c>
      <c r="F2272" s="13" t="s">
        <v>14</v>
      </c>
      <c r="G2272" s="15">
        <v>71.02</v>
      </c>
    </row>
    <row r="2273" spans="1:7" ht="22.5" x14ac:dyDescent="0.25">
      <c r="A2273" s="13">
        <v>14631</v>
      </c>
      <c r="B2273" s="14">
        <v>43453.386481481481</v>
      </c>
      <c r="C2273" s="13" t="s">
        <v>10</v>
      </c>
      <c r="D2273" s="13" t="str">
        <f t="shared" si="171"/>
        <v>MATERIALE PROTESICO</v>
      </c>
      <c r="E2273" s="13" t="str">
        <f t="shared" si="170"/>
        <v>JOHNSON &amp; JOHNSON MEDICAL SPA</v>
      </c>
      <c r="F2273" s="13" t="s">
        <v>14</v>
      </c>
      <c r="G2273" s="15">
        <v>7359.58</v>
      </c>
    </row>
    <row r="2274" spans="1:7" ht="33.75" x14ac:dyDescent="0.25">
      <c r="A2274" s="13">
        <v>14632</v>
      </c>
      <c r="B2274" s="14">
        <v>43453.386493055557</v>
      </c>
      <c r="C2274" s="13" t="s">
        <v>10</v>
      </c>
      <c r="D2274" s="13" t="str">
        <f>"APP.RE SANITARIE E RELATIVI COMPONENTI ACCESSORI E MATERIALE RADIOGRAFICO (Z)"</f>
        <v>APP.RE SANITARIE E RELATIVI COMPONENTI ACCESSORI E MATERIALE RADIOGRAFICO (Z)</v>
      </c>
      <c r="E2274" s="13" t="str">
        <f t="shared" si="170"/>
        <v>JOHNSON &amp; JOHNSON MEDICAL SPA</v>
      </c>
      <c r="F2274" s="13" t="s">
        <v>14</v>
      </c>
      <c r="G2274" s="15">
        <v>191</v>
      </c>
    </row>
    <row r="2275" spans="1:7" ht="22.5" x14ac:dyDescent="0.25">
      <c r="A2275" s="13">
        <v>14633</v>
      </c>
      <c r="B2275" s="14">
        <v>43453.386493055557</v>
      </c>
      <c r="C2275" s="13" t="s">
        <v>10</v>
      </c>
      <c r="D2275" s="13" t="str">
        <f t="shared" ref="D2275:D2281" si="172">"MATERIALE PROTESICO"</f>
        <v>MATERIALE PROTESICO</v>
      </c>
      <c r="E2275" s="13" t="str">
        <f t="shared" si="170"/>
        <v>JOHNSON &amp; JOHNSON MEDICAL SPA</v>
      </c>
      <c r="F2275" s="13" t="s">
        <v>14</v>
      </c>
      <c r="G2275" s="15">
        <v>629.28</v>
      </c>
    </row>
    <row r="2276" spans="1:7" ht="22.5" x14ac:dyDescent="0.25">
      <c r="A2276" s="13">
        <v>14634</v>
      </c>
      <c r="B2276" s="14">
        <v>43453.386493055557</v>
      </c>
      <c r="C2276" s="13" t="s">
        <v>10</v>
      </c>
      <c r="D2276" s="13" t="str">
        <f t="shared" si="172"/>
        <v>MATERIALE PROTESICO</v>
      </c>
      <c r="E2276" s="13" t="str">
        <f t="shared" si="170"/>
        <v>JOHNSON &amp; JOHNSON MEDICAL SPA</v>
      </c>
      <c r="F2276" s="13" t="s">
        <v>14</v>
      </c>
      <c r="G2276" s="15">
        <v>266.66000000000003</v>
      </c>
    </row>
    <row r="2277" spans="1:7" ht="22.5" x14ac:dyDescent="0.25">
      <c r="A2277" s="13">
        <v>14635</v>
      </c>
      <c r="B2277" s="14">
        <v>43453.386493055557</v>
      </c>
      <c r="C2277" s="13" t="s">
        <v>10</v>
      </c>
      <c r="D2277" s="13" t="str">
        <f t="shared" si="172"/>
        <v>MATERIALE PROTESICO</v>
      </c>
      <c r="E2277" s="13" t="str">
        <f t="shared" si="170"/>
        <v>JOHNSON &amp; JOHNSON MEDICAL SPA</v>
      </c>
      <c r="F2277" s="13" t="s">
        <v>14</v>
      </c>
      <c r="G2277" s="15">
        <v>16.559999999999999</v>
      </c>
    </row>
    <row r="2278" spans="1:7" ht="22.5" x14ac:dyDescent="0.25">
      <c r="A2278" s="13">
        <v>14636</v>
      </c>
      <c r="B2278" s="14">
        <v>43453.386493055557</v>
      </c>
      <c r="C2278" s="13" t="s">
        <v>10</v>
      </c>
      <c r="D2278" s="13" t="str">
        <f t="shared" si="172"/>
        <v>MATERIALE PROTESICO</v>
      </c>
      <c r="E2278" s="13" t="str">
        <f t="shared" si="170"/>
        <v>JOHNSON &amp; JOHNSON MEDICAL SPA</v>
      </c>
      <c r="F2278" s="13" t="s">
        <v>14</v>
      </c>
      <c r="G2278" s="15">
        <v>794.88</v>
      </c>
    </row>
    <row r="2279" spans="1:7" ht="22.5" x14ac:dyDescent="0.25">
      <c r="A2279" s="13">
        <v>14637</v>
      </c>
      <c r="B2279" s="14">
        <v>43453.386493055557</v>
      </c>
      <c r="C2279" s="13" t="s">
        <v>10</v>
      </c>
      <c r="D2279" s="13" t="str">
        <f t="shared" si="172"/>
        <v>MATERIALE PROTESICO</v>
      </c>
      <c r="E2279" s="13" t="str">
        <f t="shared" si="170"/>
        <v>JOHNSON &amp; JOHNSON MEDICAL SPA</v>
      </c>
      <c r="F2279" s="13" t="s">
        <v>14</v>
      </c>
      <c r="G2279" s="15">
        <v>2966.5</v>
      </c>
    </row>
    <row r="2280" spans="1:7" ht="22.5" x14ac:dyDescent="0.25">
      <c r="A2280" s="13">
        <v>14638</v>
      </c>
      <c r="B2280" s="14">
        <v>43453.386493055557</v>
      </c>
      <c r="C2280" s="13" t="s">
        <v>10</v>
      </c>
      <c r="D2280" s="13" t="str">
        <f t="shared" si="172"/>
        <v>MATERIALE PROTESICO</v>
      </c>
      <c r="E2280" s="13" t="str">
        <f t="shared" si="170"/>
        <v>JOHNSON &amp; JOHNSON MEDICAL SPA</v>
      </c>
      <c r="F2280" s="13" t="s">
        <v>14</v>
      </c>
      <c r="G2280" s="15">
        <v>3940.51</v>
      </c>
    </row>
    <row r="2281" spans="1:7" ht="22.5" x14ac:dyDescent="0.25">
      <c r="A2281" s="13">
        <v>14639</v>
      </c>
      <c r="B2281" s="14">
        <v>43453.386493055557</v>
      </c>
      <c r="C2281" s="13" t="s">
        <v>10</v>
      </c>
      <c r="D2281" s="13" t="str">
        <f t="shared" si="172"/>
        <v>MATERIALE PROTESICO</v>
      </c>
      <c r="E2281" s="13" t="str">
        <f t="shared" si="170"/>
        <v>JOHNSON &amp; JOHNSON MEDICAL SPA</v>
      </c>
      <c r="F2281" s="13" t="s">
        <v>14</v>
      </c>
      <c r="G2281" s="15">
        <v>856.91</v>
      </c>
    </row>
    <row r="2282" spans="1:7" ht="22.5" x14ac:dyDescent="0.25">
      <c r="A2282" s="13">
        <v>14640</v>
      </c>
      <c r="B2282" s="14">
        <v>43453.386493055557</v>
      </c>
      <c r="C2282" s="13" t="s">
        <v>10</v>
      </c>
      <c r="D2282" s="13" t="str">
        <f>"STRUMENTARIO CHIRURGICO (K, L)"</f>
        <v>STRUMENTARIO CHIRURGICO (K, L)</v>
      </c>
      <c r="E2282" s="13" t="str">
        <f t="shared" si="170"/>
        <v>JOHNSON &amp; JOHNSON MEDICAL SPA</v>
      </c>
      <c r="F2282" s="13" t="s">
        <v>14</v>
      </c>
      <c r="G2282" s="15">
        <v>13.68</v>
      </c>
    </row>
    <row r="2283" spans="1:7" ht="22.5" x14ac:dyDescent="0.25">
      <c r="A2283" s="13">
        <v>14641</v>
      </c>
      <c r="B2283" s="14">
        <v>43453.386493055557</v>
      </c>
      <c r="C2283" s="13" t="s">
        <v>10</v>
      </c>
      <c r="D2283" s="13" t="str">
        <f>"STRUMENTARIO CHIRURGICO (K, L)"</f>
        <v>STRUMENTARIO CHIRURGICO (K, L)</v>
      </c>
      <c r="E2283" s="13" t="str">
        <f t="shared" si="170"/>
        <v>JOHNSON &amp; JOHNSON MEDICAL SPA</v>
      </c>
      <c r="F2283" s="13" t="s">
        <v>14</v>
      </c>
      <c r="G2283" s="15">
        <v>286.70999999999998</v>
      </c>
    </row>
    <row r="2284" spans="1:7" ht="22.5" x14ac:dyDescent="0.25">
      <c r="A2284" s="13">
        <v>14642</v>
      </c>
      <c r="B2284" s="14">
        <v>43453.386504629627</v>
      </c>
      <c r="C2284" s="13" t="s">
        <v>10</v>
      </c>
      <c r="D2284" s="13" t="str">
        <f>"MATERIALE PROTESICO"</f>
        <v>MATERIALE PROTESICO</v>
      </c>
      <c r="E2284" s="13" t="str">
        <f t="shared" si="170"/>
        <v>JOHNSON &amp; JOHNSON MEDICAL SPA</v>
      </c>
      <c r="F2284" s="13" t="s">
        <v>14</v>
      </c>
      <c r="G2284" s="15">
        <v>3999.68</v>
      </c>
    </row>
    <row r="2285" spans="1:7" ht="22.5" x14ac:dyDescent="0.25">
      <c r="A2285" s="13">
        <v>14643</v>
      </c>
      <c r="B2285" s="14">
        <v>43453.386504629627</v>
      </c>
      <c r="C2285" s="13" t="s">
        <v>10</v>
      </c>
      <c r="D2285" s="13" t="str">
        <f>"MATERIALE PROTESICO"</f>
        <v>MATERIALE PROTESICO</v>
      </c>
      <c r="E2285" s="13" t="str">
        <f t="shared" si="170"/>
        <v>JOHNSON &amp; JOHNSON MEDICAL SPA</v>
      </c>
      <c r="F2285" s="13" t="s">
        <v>14</v>
      </c>
      <c r="G2285" s="15">
        <v>16.559999999999999</v>
      </c>
    </row>
    <row r="2286" spans="1:7" ht="22.5" x14ac:dyDescent="0.25">
      <c r="A2286" s="13">
        <v>14644</v>
      </c>
      <c r="B2286" s="14">
        <v>43453.386504629627</v>
      </c>
      <c r="C2286" s="13" t="s">
        <v>10</v>
      </c>
      <c r="D2286" s="13" t="str">
        <f>"MATERIALE PROTESICO"</f>
        <v>MATERIALE PROTESICO</v>
      </c>
      <c r="E2286" s="13" t="str">
        <f t="shared" si="170"/>
        <v>JOHNSON &amp; JOHNSON MEDICAL SPA</v>
      </c>
      <c r="F2286" s="13" t="s">
        <v>14</v>
      </c>
      <c r="G2286" s="15">
        <v>2462.6999999999998</v>
      </c>
    </row>
    <row r="2287" spans="1:7" ht="22.5" x14ac:dyDescent="0.25">
      <c r="A2287" s="13">
        <v>14645</v>
      </c>
      <c r="B2287" s="14">
        <v>43453.386504629627</v>
      </c>
      <c r="C2287" s="13" t="s">
        <v>10</v>
      </c>
      <c r="D2287" s="13" t="str">
        <f>"MATERIALE PROTESICO"</f>
        <v>MATERIALE PROTESICO</v>
      </c>
      <c r="E2287" s="13" t="str">
        <f t="shared" si="170"/>
        <v>JOHNSON &amp; JOHNSON MEDICAL SPA</v>
      </c>
      <c r="F2287" s="13" t="s">
        <v>14</v>
      </c>
      <c r="G2287" s="15">
        <v>2975.4</v>
      </c>
    </row>
    <row r="2288" spans="1:7" ht="22.5" x14ac:dyDescent="0.25">
      <c r="A2288" s="13">
        <v>14646</v>
      </c>
      <c r="B2288" s="14">
        <v>43453.386504629627</v>
      </c>
      <c r="C2288" s="13" t="s">
        <v>10</v>
      </c>
      <c r="D2288" s="13" t="str">
        <f>"MATERIALE PROTESICO"</f>
        <v>MATERIALE PROTESICO</v>
      </c>
      <c r="E2288" s="13" t="str">
        <f t="shared" si="170"/>
        <v>JOHNSON &amp; JOHNSON MEDICAL SPA</v>
      </c>
      <c r="F2288" s="13" t="s">
        <v>14</v>
      </c>
      <c r="G2288" s="15">
        <v>1033.6400000000001</v>
      </c>
    </row>
    <row r="2289" spans="1:7" ht="33.75" x14ac:dyDescent="0.25">
      <c r="A2289" s="13">
        <v>14647</v>
      </c>
      <c r="B2289" s="14">
        <v>43453.386504629627</v>
      </c>
      <c r="C2289" s="13" t="s">
        <v>10</v>
      </c>
      <c r="D2289" s="13" t="str">
        <f>"PRESIDI MEDICO-CHIRURGICI GENERICI E AUSILI TECNICI PER DISABILI M"</f>
        <v>PRESIDI MEDICO-CHIRURGICI GENERICI E AUSILI TECNICI PER DISABILI M</v>
      </c>
      <c r="E2289" s="13" t="str">
        <f t="shared" si="170"/>
        <v>JOHNSON &amp; JOHNSON MEDICAL SPA</v>
      </c>
      <c r="F2289" s="13" t="s">
        <v>14</v>
      </c>
      <c r="G2289" s="15">
        <v>2406.14</v>
      </c>
    </row>
    <row r="2290" spans="1:7" ht="22.5" x14ac:dyDescent="0.25">
      <c r="A2290" s="13">
        <v>14648</v>
      </c>
      <c r="B2290" s="14">
        <v>43453.386504629627</v>
      </c>
      <c r="C2290" s="13" t="s">
        <v>10</v>
      </c>
      <c r="D2290" s="13" t="str">
        <f>"STRUMENTARIO CHIRURGICO (K, L)"</f>
        <v>STRUMENTARIO CHIRURGICO (K, L)</v>
      </c>
      <c r="E2290" s="13" t="str">
        <f t="shared" si="170"/>
        <v>JOHNSON &amp; JOHNSON MEDICAL SPA</v>
      </c>
      <c r="F2290" s="13" t="s">
        <v>14</v>
      </c>
      <c r="G2290" s="15">
        <v>18.600000000000001</v>
      </c>
    </row>
    <row r="2291" spans="1:7" ht="22.5" x14ac:dyDescent="0.25">
      <c r="A2291" s="13">
        <v>14649</v>
      </c>
      <c r="B2291" s="14">
        <v>43453.386504629627</v>
      </c>
      <c r="C2291" s="13" t="s">
        <v>10</v>
      </c>
      <c r="D2291" s="13" t="str">
        <f>"STRUMENTARIO CHIRURGICO (K, L)"</f>
        <v>STRUMENTARIO CHIRURGICO (K, L)</v>
      </c>
      <c r="E2291" s="13" t="str">
        <f t="shared" si="170"/>
        <v>JOHNSON &amp; JOHNSON MEDICAL SPA</v>
      </c>
      <c r="F2291" s="13" t="s">
        <v>14</v>
      </c>
      <c r="G2291" s="15">
        <v>71.28</v>
      </c>
    </row>
    <row r="2292" spans="1:7" ht="22.5" x14ac:dyDescent="0.25">
      <c r="A2292" s="13">
        <v>14650</v>
      </c>
      <c r="B2292" s="14">
        <v>43453.386504629627</v>
      </c>
      <c r="C2292" s="13" t="s">
        <v>10</v>
      </c>
      <c r="D2292" s="13" t="str">
        <f>"STRUMENTARIO CHIRURGICO (K, L)"</f>
        <v>STRUMENTARIO CHIRURGICO (K, L)</v>
      </c>
      <c r="E2292" s="13" t="str">
        <f t="shared" si="170"/>
        <v>JOHNSON &amp; JOHNSON MEDICAL SPA</v>
      </c>
      <c r="F2292" s="13" t="s">
        <v>14</v>
      </c>
      <c r="G2292" s="15">
        <v>253.47</v>
      </c>
    </row>
    <row r="2293" spans="1:7" ht="22.5" x14ac:dyDescent="0.25">
      <c r="A2293" s="13">
        <v>14651</v>
      </c>
      <c r="B2293" s="14">
        <v>43453.386516203704</v>
      </c>
      <c r="C2293" s="13" t="s">
        <v>10</v>
      </c>
      <c r="D2293" s="13" t="str">
        <f t="shared" ref="D2293:D2310" si="173">"MATERIALE PROTESICO"</f>
        <v>MATERIALE PROTESICO</v>
      </c>
      <c r="E2293" s="13" t="str">
        <f t="shared" si="170"/>
        <v>JOHNSON &amp; JOHNSON MEDICAL SPA</v>
      </c>
      <c r="F2293" s="13" t="s">
        <v>14</v>
      </c>
      <c r="G2293" s="15">
        <v>32.4</v>
      </c>
    </row>
    <row r="2294" spans="1:7" ht="22.5" x14ac:dyDescent="0.25">
      <c r="A2294" s="13">
        <v>14652</v>
      </c>
      <c r="B2294" s="14">
        <v>43453.386516203704</v>
      </c>
      <c r="C2294" s="13" t="s">
        <v>10</v>
      </c>
      <c r="D2294" s="13" t="str">
        <f t="shared" si="173"/>
        <v>MATERIALE PROTESICO</v>
      </c>
      <c r="E2294" s="13" t="str">
        <f t="shared" si="170"/>
        <v>JOHNSON &amp; JOHNSON MEDICAL SPA</v>
      </c>
      <c r="F2294" s="13" t="s">
        <v>14</v>
      </c>
      <c r="G2294" s="15">
        <v>266.66000000000003</v>
      </c>
    </row>
    <row r="2295" spans="1:7" ht="22.5" x14ac:dyDescent="0.25">
      <c r="A2295" s="13">
        <v>14653</v>
      </c>
      <c r="B2295" s="14">
        <v>43453.386516203704</v>
      </c>
      <c r="C2295" s="13" t="s">
        <v>10</v>
      </c>
      <c r="D2295" s="13" t="str">
        <f t="shared" si="173"/>
        <v>MATERIALE PROTESICO</v>
      </c>
      <c r="E2295" s="13" t="str">
        <f t="shared" si="170"/>
        <v>JOHNSON &amp; JOHNSON MEDICAL SPA</v>
      </c>
      <c r="F2295" s="13" t="s">
        <v>14</v>
      </c>
      <c r="G2295" s="15">
        <v>42.24</v>
      </c>
    </row>
    <row r="2296" spans="1:7" ht="22.5" x14ac:dyDescent="0.25">
      <c r="A2296" s="13">
        <v>14654</v>
      </c>
      <c r="B2296" s="14">
        <v>43453.386516203704</v>
      </c>
      <c r="C2296" s="13" t="s">
        <v>10</v>
      </c>
      <c r="D2296" s="13" t="str">
        <f t="shared" si="173"/>
        <v>MATERIALE PROTESICO</v>
      </c>
      <c r="E2296" s="13" t="str">
        <f t="shared" si="170"/>
        <v>JOHNSON &amp; JOHNSON MEDICAL SPA</v>
      </c>
      <c r="F2296" s="13" t="s">
        <v>14</v>
      </c>
      <c r="G2296" s="15">
        <v>2964</v>
      </c>
    </row>
    <row r="2297" spans="1:7" ht="22.5" x14ac:dyDescent="0.25">
      <c r="A2297" s="13">
        <v>14655</v>
      </c>
      <c r="B2297" s="14">
        <v>43453.386516203704</v>
      </c>
      <c r="C2297" s="13" t="s">
        <v>10</v>
      </c>
      <c r="D2297" s="13" t="str">
        <f t="shared" si="173"/>
        <v>MATERIALE PROTESICO</v>
      </c>
      <c r="E2297" s="13" t="str">
        <f t="shared" si="170"/>
        <v>JOHNSON &amp; JOHNSON MEDICAL SPA</v>
      </c>
      <c r="F2297" s="13" t="s">
        <v>14</v>
      </c>
      <c r="G2297" s="15">
        <v>716.4</v>
      </c>
    </row>
    <row r="2298" spans="1:7" ht="22.5" x14ac:dyDescent="0.25">
      <c r="A2298" s="13">
        <v>14656</v>
      </c>
      <c r="B2298" s="14">
        <v>43453.386516203704</v>
      </c>
      <c r="C2298" s="13" t="s">
        <v>10</v>
      </c>
      <c r="D2298" s="13" t="str">
        <f t="shared" si="173"/>
        <v>MATERIALE PROTESICO</v>
      </c>
      <c r="E2298" s="13" t="str">
        <f t="shared" si="170"/>
        <v>JOHNSON &amp; JOHNSON MEDICAL SPA</v>
      </c>
      <c r="F2298" s="13" t="s">
        <v>14</v>
      </c>
      <c r="G2298" s="15">
        <v>266.66000000000003</v>
      </c>
    </row>
    <row r="2299" spans="1:7" ht="22.5" x14ac:dyDescent="0.25">
      <c r="A2299" s="13">
        <v>14657</v>
      </c>
      <c r="B2299" s="14">
        <v>43453.386516203704</v>
      </c>
      <c r="C2299" s="13" t="s">
        <v>10</v>
      </c>
      <c r="D2299" s="13" t="str">
        <f t="shared" si="173"/>
        <v>MATERIALE PROTESICO</v>
      </c>
      <c r="E2299" s="13" t="str">
        <f t="shared" si="170"/>
        <v>JOHNSON &amp; JOHNSON MEDICAL SPA</v>
      </c>
      <c r="F2299" s="13" t="s">
        <v>14</v>
      </c>
      <c r="G2299" s="15">
        <v>266.66000000000003</v>
      </c>
    </row>
    <row r="2300" spans="1:7" ht="22.5" x14ac:dyDescent="0.25">
      <c r="A2300" s="13">
        <v>14658</v>
      </c>
      <c r="B2300" s="14">
        <v>43453.386516203704</v>
      </c>
      <c r="C2300" s="13" t="s">
        <v>10</v>
      </c>
      <c r="D2300" s="13" t="str">
        <f t="shared" si="173"/>
        <v>MATERIALE PROTESICO</v>
      </c>
      <c r="E2300" s="13" t="str">
        <f t="shared" si="170"/>
        <v>JOHNSON &amp; JOHNSON MEDICAL SPA</v>
      </c>
      <c r="F2300" s="13" t="s">
        <v>14</v>
      </c>
      <c r="G2300" s="15">
        <v>899.15</v>
      </c>
    </row>
    <row r="2301" spans="1:7" ht="22.5" x14ac:dyDescent="0.25">
      <c r="A2301" s="13">
        <v>14659</v>
      </c>
      <c r="B2301" s="14">
        <v>43453.386516203704</v>
      </c>
      <c r="C2301" s="13" t="s">
        <v>10</v>
      </c>
      <c r="D2301" s="13" t="str">
        <f t="shared" si="173"/>
        <v>MATERIALE PROTESICO</v>
      </c>
      <c r="E2301" s="13" t="str">
        <f t="shared" si="170"/>
        <v>JOHNSON &amp; JOHNSON MEDICAL SPA</v>
      </c>
      <c r="F2301" s="13" t="s">
        <v>14</v>
      </c>
      <c r="G2301" s="15">
        <v>19.809999999999999</v>
      </c>
    </row>
    <row r="2302" spans="1:7" ht="22.5" x14ac:dyDescent="0.25">
      <c r="A2302" s="13">
        <v>14660</v>
      </c>
      <c r="B2302" s="14">
        <v>43453.386516203704</v>
      </c>
      <c r="C2302" s="13" t="s">
        <v>10</v>
      </c>
      <c r="D2302" s="13" t="str">
        <f t="shared" si="173"/>
        <v>MATERIALE PROTESICO</v>
      </c>
      <c r="E2302" s="13" t="str">
        <f t="shared" si="170"/>
        <v>JOHNSON &amp; JOHNSON MEDICAL SPA</v>
      </c>
      <c r="F2302" s="13" t="s">
        <v>14</v>
      </c>
      <c r="G2302" s="15">
        <v>848.91</v>
      </c>
    </row>
    <row r="2303" spans="1:7" ht="22.5" x14ac:dyDescent="0.25">
      <c r="A2303" s="13">
        <v>14661</v>
      </c>
      <c r="B2303" s="14">
        <v>43453.386516203704</v>
      </c>
      <c r="C2303" s="13" t="s">
        <v>10</v>
      </c>
      <c r="D2303" s="13" t="str">
        <f t="shared" si="173"/>
        <v>MATERIALE PROTESICO</v>
      </c>
      <c r="E2303" s="13" t="str">
        <f t="shared" si="170"/>
        <v>JOHNSON &amp; JOHNSON MEDICAL SPA</v>
      </c>
      <c r="F2303" s="13" t="s">
        <v>14</v>
      </c>
      <c r="G2303" s="15">
        <v>16.559999999999999</v>
      </c>
    </row>
    <row r="2304" spans="1:7" ht="22.5" x14ac:dyDescent="0.25">
      <c r="A2304" s="13">
        <v>14662</v>
      </c>
      <c r="B2304" s="14">
        <v>43453.38652777778</v>
      </c>
      <c r="C2304" s="13" t="s">
        <v>10</v>
      </c>
      <c r="D2304" s="13" t="str">
        <f t="shared" si="173"/>
        <v>MATERIALE PROTESICO</v>
      </c>
      <c r="E2304" s="13" t="str">
        <f t="shared" ref="E2304:E2339" si="174">"JOHNSON &amp; JOHNSON MEDICAL SPA"</f>
        <v>JOHNSON &amp; JOHNSON MEDICAL SPA</v>
      </c>
      <c r="F2304" s="13" t="s">
        <v>14</v>
      </c>
      <c r="G2304" s="15">
        <v>4854.97</v>
      </c>
    </row>
    <row r="2305" spans="1:7" ht="22.5" x14ac:dyDescent="0.25">
      <c r="A2305" s="13">
        <v>14663</v>
      </c>
      <c r="B2305" s="14">
        <v>43453.38652777778</v>
      </c>
      <c r="C2305" s="13" t="s">
        <v>10</v>
      </c>
      <c r="D2305" s="13" t="str">
        <f t="shared" si="173"/>
        <v>MATERIALE PROTESICO</v>
      </c>
      <c r="E2305" s="13" t="str">
        <f t="shared" si="174"/>
        <v>JOHNSON &amp; JOHNSON MEDICAL SPA</v>
      </c>
      <c r="F2305" s="13" t="s">
        <v>14</v>
      </c>
      <c r="G2305" s="15">
        <v>33.119999999999997</v>
      </c>
    </row>
    <row r="2306" spans="1:7" ht="22.5" x14ac:dyDescent="0.25">
      <c r="A2306" s="13">
        <v>14664</v>
      </c>
      <c r="B2306" s="14">
        <v>43453.38652777778</v>
      </c>
      <c r="C2306" s="13" t="s">
        <v>10</v>
      </c>
      <c r="D2306" s="13" t="str">
        <f t="shared" si="173"/>
        <v>MATERIALE PROTESICO</v>
      </c>
      <c r="E2306" s="13" t="str">
        <f t="shared" si="174"/>
        <v>JOHNSON &amp; JOHNSON MEDICAL SPA</v>
      </c>
      <c r="F2306" s="13" t="s">
        <v>14</v>
      </c>
      <c r="G2306" s="15">
        <v>254.8</v>
      </c>
    </row>
    <row r="2307" spans="1:7" ht="22.5" x14ac:dyDescent="0.25">
      <c r="A2307" s="13">
        <v>14665</v>
      </c>
      <c r="B2307" s="14">
        <v>43453.38652777778</v>
      </c>
      <c r="C2307" s="13" t="s">
        <v>10</v>
      </c>
      <c r="D2307" s="13" t="str">
        <f t="shared" si="173"/>
        <v>MATERIALE PROTESICO</v>
      </c>
      <c r="E2307" s="13" t="str">
        <f t="shared" si="174"/>
        <v>JOHNSON &amp; JOHNSON MEDICAL SPA</v>
      </c>
      <c r="F2307" s="13" t="s">
        <v>14</v>
      </c>
      <c r="G2307" s="15">
        <v>691.24</v>
      </c>
    </row>
    <row r="2308" spans="1:7" ht="22.5" x14ac:dyDescent="0.25">
      <c r="A2308" s="13">
        <v>14666</v>
      </c>
      <c r="B2308" s="14">
        <v>43453.38652777778</v>
      </c>
      <c r="C2308" s="13" t="s">
        <v>10</v>
      </c>
      <c r="D2308" s="13" t="str">
        <f t="shared" si="173"/>
        <v>MATERIALE PROTESICO</v>
      </c>
      <c r="E2308" s="13" t="str">
        <f>"LEPINE ITALIA SRL"</f>
        <v>LEPINE ITALIA SRL</v>
      </c>
      <c r="F2308" s="13" t="s">
        <v>14</v>
      </c>
      <c r="G2308" s="15">
        <v>266.39999999999998</v>
      </c>
    </row>
    <row r="2309" spans="1:7" ht="22.5" x14ac:dyDescent="0.25">
      <c r="A2309" s="13">
        <v>14667</v>
      </c>
      <c r="B2309" s="14">
        <v>43453.38652777778</v>
      </c>
      <c r="C2309" s="13" t="s">
        <v>10</v>
      </c>
      <c r="D2309" s="13" t="str">
        <f t="shared" si="173"/>
        <v>MATERIALE PROTESICO</v>
      </c>
      <c r="E2309" s="13" t="str">
        <f>"LEPINE ITALIA SRL"</f>
        <v>LEPINE ITALIA SRL</v>
      </c>
      <c r="F2309" s="13" t="s">
        <v>14</v>
      </c>
      <c r="G2309" s="15">
        <v>266.39999999999998</v>
      </c>
    </row>
    <row r="2310" spans="1:7" ht="22.5" x14ac:dyDescent="0.25">
      <c r="A2310" s="13">
        <v>14668</v>
      </c>
      <c r="B2310" s="14">
        <v>43453.38652777778</v>
      </c>
      <c r="C2310" s="13" t="s">
        <v>10</v>
      </c>
      <c r="D2310" s="13" t="str">
        <f t="shared" si="173"/>
        <v>MATERIALE PROTESICO</v>
      </c>
      <c r="E2310" s="13" t="str">
        <f>"LEPINE ITALIA SRL"</f>
        <v>LEPINE ITALIA SRL</v>
      </c>
      <c r="F2310" s="13" t="s">
        <v>14</v>
      </c>
      <c r="G2310" s="15">
        <v>266.39999999999998</v>
      </c>
    </row>
    <row r="2311" spans="1:7" ht="22.5" x14ac:dyDescent="0.25">
      <c r="A2311" s="13">
        <v>14669</v>
      </c>
      <c r="B2311" s="14">
        <v>43453.38652777778</v>
      </c>
      <c r="C2311" s="13" t="s">
        <v>10</v>
      </c>
      <c r="D2311" s="13" t="str">
        <f>"STRUMENTARIO CHIRURGICO (K, L)"</f>
        <v>STRUMENTARIO CHIRURGICO (K, L)</v>
      </c>
      <c r="E2311" s="13" t="str">
        <f>"JOHNSON &amp; JOHNSON MEDICAL SPA"</f>
        <v>JOHNSON &amp; JOHNSON MEDICAL SPA</v>
      </c>
      <c r="F2311" s="13" t="s">
        <v>14</v>
      </c>
      <c r="G2311" s="15">
        <v>18.600000000000001</v>
      </c>
    </row>
    <row r="2312" spans="1:7" ht="22.5" x14ac:dyDescent="0.25">
      <c r="A2312" s="13">
        <v>14670</v>
      </c>
      <c r="B2312" s="14">
        <v>43453.38652777778</v>
      </c>
      <c r="C2312" s="13" t="s">
        <v>10</v>
      </c>
      <c r="D2312" s="13" t="str">
        <f>"STRUMENTARIO CHIRURGICO (K, L)"</f>
        <v>STRUMENTARIO CHIRURGICO (K, L)</v>
      </c>
      <c r="E2312" s="13" t="str">
        <f>"JOHNSON &amp; JOHNSON MEDICAL SPA"</f>
        <v>JOHNSON &amp; JOHNSON MEDICAL SPA</v>
      </c>
      <c r="F2312" s="13" t="s">
        <v>14</v>
      </c>
      <c r="G2312" s="15">
        <v>525.5</v>
      </c>
    </row>
    <row r="2313" spans="1:7" ht="22.5" x14ac:dyDescent="0.25">
      <c r="A2313" s="13">
        <v>14671</v>
      </c>
      <c r="B2313" s="14">
        <v>43453.38652777778</v>
      </c>
      <c r="C2313" s="13" t="s">
        <v>10</v>
      </c>
      <c r="D2313" s="13" t="str">
        <f>"STRUMENTARIO CHIRURGICO (K, L)"</f>
        <v>STRUMENTARIO CHIRURGICO (K, L)</v>
      </c>
      <c r="E2313" s="13" t="str">
        <f>"JOHNSON &amp; JOHNSON MEDICAL SPA"</f>
        <v>JOHNSON &amp; JOHNSON MEDICAL SPA</v>
      </c>
      <c r="F2313" s="13" t="s">
        <v>14</v>
      </c>
      <c r="G2313" s="15">
        <v>1419.12</v>
      </c>
    </row>
    <row r="2314" spans="1:7" ht="22.5" x14ac:dyDescent="0.25">
      <c r="A2314" s="13">
        <v>14672</v>
      </c>
      <c r="B2314" s="14">
        <v>43453.38653935185</v>
      </c>
      <c r="C2314" s="13" t="s">
        <v>10</v>
      </c>
      <c r="D2314" s="13" t="str">
        <f t="shared" ref="D2314:D2319" si="175">"MATERIALE PROTESICO"</f>
        <v>MATERIALE PROTESICO</v>
      </c>
      <c r="E2314" s="13" t="str">
        <f t="shared" ref="E2314:E2319" si="176">"LEPINE ITALIA SRL"</f>
        <v>LEPINE ITALIA SRL</v>
      </c>
      <c r="F2314" s="13" t="s">
        <v>14</v>
      </c>
      <c r="G2314" s="15">
        <v>266.39999999999998</v>
      </c>
    </row>
    <row r="2315" spans="1:7" ht="22.5" x14ac:dyDescent="0.25">
      <c r="A2315" s="13">
        <v>14673</v>
      </c>
      <c r="B2315" s="14">
        <v>43453.38653935185</v>
      </c>
      <c r="C2315" s="13" t="s">
        <v>10</v>
      </c>
      <c r="D2315" s="13" t="str">
        <f t="shared" si="175"/>
        <v>MATERIALE PROTESICO</v>
      </c>
      <c r="E2315" s="13" t="str">
        <f t="shared" si="176"/>
        <v>LEPINE ITALIA SRL</v>
      </c>
      <c r="F2315" s="13" t="s">
        <v>14</v>
      </c>
      <c r="G2315" s="15">
        <v>266.39999999999998</v>
      </c>
    </row>
    <row r="2316" spans="1:7" ht="22.5" x14ac:dyDescent="0.25">
      <c r="A2316" s="13">
        <v>14674</v>
      </c>
      <c r="B2316" s="14">
        <v>43453.38653935185</v>
      </c>
      <c r="C2316" s="13" t="s">
        <v>10</v>
      </c>
      <c r="D2316" s="13" t="str">
        <f t="shared" si="175"/>
        <v>MATERIALE PROTESICO</v>
      </c>
      <c r="E2316" s="13" t="str">
        <f t="shared" si="176"/>
        <v>LEPINE ITALIA SRL</v>
      </c>
      <c r="F2316" s="13" t="s">
        <v>14</v>
      </c>
      <c r="G2316" s="15">
        <v>799.2</v>
      </c>
    </row>
    <row r="2317" spans="1:7" ht="22.5" x14ac:dyDescent="0.25">
      <c r="A2317" s="13">
        <v>14675</v>
      </c>
      <c r="B2317" s="14">
        <v>43453.38653935185</v>
      </c>
      <c r="C2317" s="13" t="s">
        <v>10</v>
      </c>
      <c r="D2317" s="13" t="str">
        <f t="shared" si="175"/>
        <v>MATERIALE PROTESICO</v>
      </c>
      <c r="E2317" s="13" t="str">
        <f t="shared" si="176"/>
        <v>LEPINE ITALIA SRL</v>
      </c>
      <c r="F2317" s="13" t="s">
        <v>14</v>
      </c>
      <c r="G2317" s="15">
        <v>532.79999999999995</v>
      </c>
    </row>
    <row r="2318" spans="1:7" ht="22.5" x14ac:dyDescent="0.25">
      <c r="A2318" s="13">
        <v>14676</v>
      </c>
      <c r="B2318" s="14">
        <v>43453.38653935185</v>
      </c>
      <c r="C2318" s="13" t="s">
        <v>10</v>
      </c>
      <c r="D2318" s="13" t="str">
        <f t="shared" si="175"/>
        <v>MATERIALE PROTESICO</v>
      </c>
      <c r="E2318" s="13" t="str">
        <f t="shared" si="176"/>
        <v>LEPINE ITALIA SRL</v>
      </c>
      <c r="F2318" s="13" t="s">
        <v>14</v>
      </c>
      <c r="G2318" s="15">
        <v>266.39999999999998</v>
      </c>
    </row>
    <row r="2319" spans="1:7" ht="22.5" x14ac:dyDescent="0.25">
      <c r="A2319" s="13">
        <v>14677</v>
      </c>
      <c r="B2319" s="14">
        <v>43453.38653935185</v>
      </c>
      <c r="C2319" s="13" t="s">
        <v>10</v>
      </c>
      <c r="D2319" s="13" t="str">
        <f t="shared" si="175"/>
        <v>MATERIALE PROTESICO</v>
      </c>
      <c r="E2319" s="13" t="str">
        <f t="shared" si="176"/>
        <v>LEPINE ITALIA SRL</v>
      </c>
      <c r="F2319" s="13" t="s">
        <v>14</v>
      </c>
      <c r="G2319" s="15">
        <v>266.39999999999998</v>
      </c>
    </row>
    <row r="2320" spans="1:7" ht="22.5" x14ac:dyDescent="0.25">
      <c r="A2320" s="13">
        <v>14678</v>
      </c>
      <c r="B2320" s="14">
        <v>43453.529803240737</v>
      </c>
      <c r="C2320" s="13" t="s">
        <v>11</v>
      </c>
      <c r="D2320" s="13" t="str">
        <f>"MANUTENZIONE ATTREZZATURE SANITARIE"</f>
        <v>MANUTENZIONE ATTREZZATURE SANITARIE</v>
      </c>
      <c r="E2320" s="13" t="str">
        <f>"AGILENT TECHNOLOGIES ITALIA SPA"</f>
        <v>AGILENT TECHNOLOGIES ITALIA SPA</v>
      </c>
      <c r="F2320" s="13" t="s">
        <v>22</v>
      </c>
      <c r="G2320" s="15">
        <v>1457.12</v>
      </c>
    </row>
    <row r="2321" spans="1:7" ht="22.5" x14ac:dyDescent="0.25">
      <c r="A2321" s="13">
        <v>14679</v>
      </c>
      <c r="B2321" s="14">
        <v>43453.529803240737</v>
      </c>
      <c r="C2321" s="13" t="s">
        <v>10</v>
      </c>
      <c r="D2321" s="13" t="str">
        <f>"NOTE CREDITO DA EMETTERE"</f>
        <v>NOTE CREDITO DA EMETTERE</v>
      </c>
      <c r="E2321" s="13" t="str">
        <f>"EUROCLONE SPA"</f>
        <v>EUROCLONE SPA</v>
      </c>
      <c r="F2321" s="13" t="s">
        <v>14</v>
      </c>
      <c r="G2321" s="15">
        <v>600</v>
      </c>
    </row>
    <row r="2322" spans="1:7" ht="22.5" x14ac:dyDescent="0.25">
      <c r="A2322" s="13">
        <v>14680</v>
      </c>
      <c r="B2322" s="14">
        <v>43453.529803240737</v>
      </c>
      <c r="C2322" s="13" t="s">
        <v>10</v>
      </c>
      <c r="D2322" s="13" t="str">
        <f>"NOTE CREDITO DA EMETTERE"</f>
        <v>NOTE CREDITO DA EMETTERE</v>
      </c>
      <c r="E2322" s="13" t="str">
        <f>"EUROCLONE SPA"</f>
        <v>EUROCLONE SPA</v>
      </c>
      <c r="F2322" s="13" t="s">
        <v>14</v>
      </c>
      <c r="G2322" s="15">
        <v>-600</v>
      </c>
    </row>
    <row r="2323" spans="1:7" ht="33.75" x14ac:dyDescent="0.25">
      <c r="A2323" s="13">
        <v>14681</v>
      </c>
      <c r="B2323" s="14">
        <v>43453.529803240737</v>
      </c>
      <c r="C2323" s="13" t="s">
        <v>10</v>
      </c>
      <c r="D2323" s="13" t="str">
        <f>"PRESIDI MEDICO-CHIRURGICI GENERICI E AUSILI TECNICI PER DISABILI H"</f>
        <v>PRESIDI MEDICO-CHIRURGICI GENERICI E AUSILI TECNICI PER DISABILI H</v>
      </c>
      <c r="E2323" s="13" t="str">
        <f>"EUROCLONE SPA"</f>
        <v>EUROCLONE SPA</v>
      </c>
      <c r="F2323" s="13" t="s">
        <v>14</v>
      </c>
      <c r="G2323" s="15">
        <v>600</v>
      </c>
    </row>
    <row r="2324" spans="1:7" ht="22.5" x14ac:dyDescent="0.25">
      <c r="A2324" s="13">
        <v>14682</v>
      </c>
      <c r="B2324" s="14">
        <v>43453.529814814814</v>
      </c>
      <c r="C2324" s="13" t="s">
        <v>10</v>
      </c>
      <c r="D2324" s="13" t="str">
        <f>"ALTRI CANONI DI NOLEGGIO"</f>
        <v>ALTRI CANONI DI NOLEGGIO</v>
      </c>
      <c r="E2324" s="13" t="str">
        <f>"ALD AUTOMOTIVE ITALIA SRL"</f>
        <v>ALD AUTOMOTIVE ITALIA SRL</v>
      </c>
      <c r="F2324" s="13" t="s">
        <v>14</v>
      </c>
      <c r="G2324" s="15">
        <v>227.45</v>
      </c>
    </row>
    <row r="2325" spans="1:7" ht="22.5" x14ac:dyDescent="0.25">
      <c r="A2325" s="13">
        <v>14683</v>
      </c>
      <c r="B2325" s="14">
        <v>43453.529814814814</v>
      </c>
      <c r="C2325" s="13" t="s">
        <v>10</v>
      </c>
      <c r="D2325" s="13" t="str">
        <f>"ALTRI SERVIZI"</f>
        <v>ALTRI SERVIZI</v>
      </c>
      <c r="E2325" s="13" t="str">
        <f>"GARLANDINI ALESSANDRO"</f>
        <v>GARLANDINI ALESSANDRO</v>
      </c>
      <c r="F2325" s="13" t="str">
        <f>"ALTRE SPESE PER SERV.NON SANITARI"</f>
        <v>ALTRE SPESE PER SERV.NON SANITARI</v>
      </c>
      <c r="G2325" s="15">
        <v>8700</v>
      </c>
    </row>
    <row r="2326" spans="1:7" ht="22.5" x14ac:dyDescent="0.25">
      <c r="A2326" s="13">
        <v>14684</v>
      </c>
      <c r="B2326" s="14">
        <v>43453.529814814814</v>
      </c>
      <c r="C2326" s="13" t="s">
        <v>13</v>
      </c>
      <c r="D2326" s="13" t="str">
        <f>"ATTREZZATURE E APPARECCHIATURE SANITARIE"</f>
        <v>ATTREZZATURE E APPARECCHIATURE SANITARIE</v>
      </c>
      <c r="E2326" s="13" t="str">
        <f>"ETTORE PASQUALI SRL"</f>
        <v>ETTORE PASQUALI SRL</v>
      </c>
      <c r="F2326" s="13" t="s">
        <v>14</v>
      </c>
      <c r="G2326" s="15">
        <v>479.75</v>
      </c>
    </row>
    <row r="2327" spans="1:7" ht="22.5" x14ac:dyDescent="0.25">
      <c r="A2327" s="13">
        <v>14685</v>
      </c>
      <c r="B2327" s="14">
        <v>43453.529814814814</v>
      </c>
      <c r="C2327" s="13" t="s">
        <v>13</v>
      </c>
      <c r="D2327" s="13" t="str">
        <f>"ATTREZZATURE E APPARECCHIATURE SANITARIE"</f>
        <v>ATTREZZATURE E APPARECCHIATURE SANITARIE</v>
      </c>
      <c r="E2327" s="13" t="str">
        <f>"ZOLL MEDICAL ITALIA SRL"</f>
        <v>ZOLL MEDICAL ITALIA SRL</v>
      </c>
      <c r="F2327" s="13" t="s">
        <v>14</v>
      </c>
      <c r="G2327" s="15">
        <v>12544</v>
      </c>
    </row>
    <row r="2328" spans="1:7" ht="22.5" x14ac:dyDescent="0.25">
      <c r="A2328" s="13">
        <v>14686</v>
      </c>
      <c r="B2328" s="14">
        <v>43453.529814814814</v>
      </c>
      <c r="C2328" s="13" t="s">
        <v>10</v>
      </c>
      <c r="D2328" s="13" t="str">
        <f>"FT RIC BIOGENETICS SRL"</f>
        <v>FT RIC BIOGENETICS SRL</v>
      </c>
      <c r="E2328" s="13" t="str">
        <f>"BIOGEN ITALIA SRL"</f>
        <v>BIOGEN ITALIA SRL</v>
      </c>
      <c r="F2328" s="13" t="s">
        <v>14</v>
      </c>
      <c r="G2328" s="15">
        <v>2516</v>
      </c>
    </row>
    <row r="2329" spans="1:7" ht="22.5" x14ac:dyDescent="0.25">
      <c r="A2329" s="13">
        <v>14687</v>
      </c>
      <c r="B2329" s="14">
        <v>43453.529814814814</v>
      </c>
      <c r="C2329" s="13" t="s">
        <v>10</v>
      </c>
      <c r="D2329" s="13" t="str">
        <f>"PRODOTTI ALIMENTARI"</f>
        <v>PRODOTTI ALIMENTARI</v>
      </c>
      <c r="E2329" s="13" t="str">
        <f>"DAC SPA "</f>
        <v xml:space="preserve">DAC SPA </v>
      </c>
      <c r="F2329" s="13" t="s">
        <v>16</v>
      </c>
      <c r="G2329" s="15">
        <v>923.7</v>
      </c>
    </row>
    <row r="2330" spans="1:7" ht="22.5" x14ac:dyDescent="0.25">
      <c r="A2330" s="13">
        <v>14688</v>
      </c>
      <c r="B2330" s="14">
        <v>43453.529814814814</v>
      </c>
      <c r="C2330" s="13" t="s">
        <v>10</v>
      </c>
      <c r="D2330" s="13" t="str">
        <f>"PRODOTTI ALIMENTARI"</f>
        <v>PRODOTTI ALIMENTARI</v>
      </c>
      <c r="E2330" s="13" t="str">
        <f>"DAC SPA "</f>
        <v xml:space="preserve">DAC SPA </v>
      </c>
      <c r="F2330" s="13" t="s">
        <v>16</v>
      </c>
      <c r="G2330" s="15">
        <v>996.91</v>
      </c>
    </row>
    <row r="2331" spans="1:7" ht="22.5" x14ac:dyDescent="0.25">
      <c r="A2331" s="13">
        <v>14689</v>
      </c>
      <c r="B2331" s="14">
        <v>43453.529814814814</v>
      </c>
      <c r="C2331" s="13" t="s">
        <v>10</v>
      </c>
      <c r="D2331" s="13" t="str">
        <f>"PRODOTTI ALIMENTARI"</f>
        <v>PRODOTTI ALIMENTARI</v>
      </c>
      <c r="E2331" s="13" t="str">
        <f>"DAC SPA "</f>
        <v xml:space="preserve">DAC SPA </v>
      </c>
      <c r="F2331" s="13" t="s">
        <v>16</v>
      </c>
      <c r="G2331" s="15">
        <v>1010.05</v>
      </c>
    </row>
    <row r="2332" spans="1:7" ht="22.5" x14ac:dyDescent="0.25">
      <c r="A2332" s="13">
        <v>14690</v>
      </c>
      <c r="B2332" s="14">
        <v>43453.529814814814</v>
      </c>
      <c r="C2332" s="13" t="s">
        <v>10</v>
      </c>
      <c r="D2332" s="13" t="str">
        <f>"PRODOTTI ALIMENTARI"</f>
        <v>PRODOTTI ALIMENTARI</v>
      </c>
      <c r="E2332" s="13" t="str">
        <f>"DAC SPA "</f>
        <v xml:space="preserve">DAC SPA </v>
      </c>
      <c r="F2332" s="13" t="s">
        <v>16</v>
      </c>
      <c r="G2332" s="15">
        <v>780.88</v>
      </c>
    </row>
    <row r="2333" spans="1:7" ht="22.5" x14ac:dyDescent="0.25">
      <c r="A2333" s="13">
        <v>14691</v>
      </c>
      <c r="B2333" s="14">
        <v>43453.529814814814</v>
      </c>
      <c r="C2333" s="13" t="s">
        <v>10</v>
      </c>
      <c r="D2333" s="13" t="str">
        <f>"PRODOTTI ALIMENTARI"</f>
        <v>PRODOTTI ALIMENTARI</v>
      </c>
      <c r="E2333" s="13" t="str">
        <f>"DAC SPA "</f>
        <v xml:space="preserve">DAC SPA </v>
      </c>
      <c r="F2333" s="13" t="s">
        <v>16</v>
      </c>
      <c r="G2333" s="15">
        <v>1286.83</v>
      </c>
    </row>
    <row r="2334" spans="1:7" ht="22.5" x14ac:dyDescent="0.25">
      <c r="A2334" s="13">
        <v>14692</v>
      </c>
      <c r="B2334" s="14">
        <v>43453.529814814814</v>
      </c>
      <c r="C2334" s="13" t="s">
        <v>10</v>
      </c>
      <c r="D2334" s="13" t="str">
        <f>"PRODOTTI CHIMICI: MATERIALI DIAGNOSTICI (SENZA CND)"</f>
        <v>PRODOTTI CHIMICI: MATERIALI DIAGNOSTICI (SENZA CND)</v>
      </c>
      <c r="E2334" s="13" t="str">
        <f>"ETTORE PASQUALI SRL"</f>
        <v>ETTORE PASQUALI SRL</v>
      </c>
      <c r="F2334" s="13" t="s">
        <v>16</v>
      </c>
      <c r="G2334" s="15">
        <v>406.82</v>
      </c>
    </row>
    <row r="2335" spans="1:7" ht="22.5" x14ac:dyDescent="0.25">
      <c r="A2335" s="13">
        <v>14693</v>
      </c>
      <c r="B2335" s="14">
        <v>43453.529814814814</v>
      </c>
      <c r="C2335" s="13" t="s">
        <v>10</v>
      </c>
      <c r="D2335" s="13" t="str">
        <f>"SERVIZIO CUCINA E MENSA (ATTIVITÀ COMMERCIALE)"</f>
        <v>SERVIZIO CUCINA E MENSA (ATTIVITÀ COMMERCIALE)</v>
      </c>
      <c r="E2335" s="13" t="str">
        <f>"SARCA CATERING SRL a Socio Unico"</f>
        <v>SARCA CATERING SRL a Socio Unico</v>
      </c>
      <c r="F2335" s="13" t="s">
        <v>17</v>
      </c>
      <c r="G2335" s="15">
        <v>22140</v>
      </c>
    </row>
    <row r="2336" spans="1:7" ht="22.5" x14ac:dyDescent="0.25">
      <c r="A2336" s="13">
        <v>14694</v>
      </c>
      <c r="B2336" s="14">
        <v>43453.529826388891</v>
      </c>
      <c r="C2336" s="13" t="s">
        <v>10</v>
      </c>
      <c r="D2336" s="13" t="str">
        <f t="shared" ref="D2336:D2359" si="177">"PRODOTTI ALIMENTARI"</f>
        <v>PRODOTTI ALIMENTARI</v>
      </c>
      <c r="E2336" s="13" t="str">
        <f t="shared" ref="E2336:E2359" si="178">"DAC SPA "</f>
        <v xml:space="preserve">DAC SPA </v>
      </c>
      <c r="F2336" s="13" t="s">
        <v>16</v>
      </c>
      <c r="G2336" s="15">
        <v>676.5</v>
      </c>
    </row>
    <row r="2337" spans="1:7" ht="22.5" x14ac:dyDescent="0.25">
      <c r="A2337" s="13">
        <v>14695</v>
      </c>
      <c r="B2337" s="14">
        <v>43453.529826388891</v>
      </c>
      <c r="C2337" s="13" t="s">
        <v>10</v>
      </c>
      <c r="D2337" s="13" t="str">
        <f t="shared" si="177"/>
        <v>PRODOTTI ALIMENTARI</v>
      </c>
      <c r="E2337" s="13" t="str">
        <f t="shared" si="178"/>
        <v xml:space="preserve">DAC SPA </v>
      </c>
      <c r="F2337" s="13" t="s">
        <v>16</v>
      </c>
      <c r="G2337" s="15">
        <v>204.95</v>
      </c>
    </row>
    <row r="2338" spans="1:7" ht="22.5" x14ac:dyDescent="0.25">
      <c r="A2338" s="13">
        <v>14696</v>
      </c>
      <c r="B2338" s="14">
        <v>43453.529826388891</v>
      </c>
      <c r="C2338" s="13" t="s">
        <v>10</v>
      </c>
      <c r="D2338" s="13" t="str">
        <f t="shared" si="177"/>
        <v>PRODOTTI ALIMENTARI</v>
      </c>
      <c r="E2338" s="13" t="str">
        <f t="shared" si="178"/>
        <v xml:space="preserve">DAC SPA </v>
      </c>
      <c r="F2338" s="13" t="s">
        <v>16</v>
      </c>
      <c r="G2338" s="15">
        <v>128.12</v>
      </c>
    </row>
    <row r="2339" spans="1:7" ht="22.5" x14ac:dyDescent="0.25">
      <c r="A2339" s="13">
        <v>14697</v>
      </c>
      <c r="B2339" s="14">
        <v>43453.529826388891</v>
      </c>
      <c r="C2339" s="13" t="s">
        <v>10</v>
      </c>
      <c r="D2339" s="13" t="str">
        <f t="shared" si="177"/>
        <v>PRODOTTI ALIMENTARI</v>
      </c>
      <c r="E2339" s="13" t="str">
        <f t="shared" si="178"/>
        <v xml:space="preserve">DAC SPA </v>
      </c>
      <c r="F2339" s="13" t="s">
        <v>16</v>
      </c>
      <c r="G2339" s="15">
        <v>220.1</v>
      </c>
    </row>
    <row r="2340" spans="1:7" ht="22.5" x14ac:dyDescent="0.25">
      <c r="A2340" s="13">
        <v>14698</v>
      </c>
      <c r="B2340" s="14">
        <v>43453.529826388891</v>
      </c>
      <c r="C2340" s="13" t="s">
        <v>10</v>
      </c>
      <c r="D2340" s="13" t="str">
        <f t="shared" si="177"/>
        <v>PRODOTTI ALIMENTARI</v>
      </c>
      <c r="E2340" s="13" t="str">
        <f t="shared" si="178"/>
        <v xml:space="preserve">DAC SPA </v>
      </c>
      <c r="F2340" s="13" t="s">
        <v>16</v>
      </c>
      <c r="G2340" s="15">
        <v>379.54</v>
      </c>
    </row>
    <row r="2341" spans="1:7" ht="22.5" x14ac:dyDescent="0.25">
      <c r="A2341" s="13">
        <v>14699</v>
      </c>
      <c r="B2341" s="14">
        <v>43453.529826388891</v>
      </c>
      <c r="C2341" s="13" t="s">
        <v>10</v>
      </c>
      <c r="D2341" s="13" t="str">
        <f t="shared" si="177"/>
        <v>PRODOTTI ALIMENTARI</v>
      </c>
      <c r="E2341" s="13" t="str">
        <f t="shared" si="178"/>
        <v xml:space="preserve">DAC SPA </v>
      </c>
      <c r="F2341" s="13" t="s">
        <v>16</v>
      </c>
      <c r="G2341" s="15">
        <v>897.34</v>
      </c>
    </row>
    <row r="2342" spans="1:7" ht="22.5" x14ac:dyDescent="0.25">
      <c r="A2342" s="13">
        <v>14700</v>
      </c>
      <c r="B2342" s="14">
        <v>43453.529826388891</v>
      </c>
      <c r="C2342" s="13" t="s">
        <v>10</v>
      </c>
      <c r="D2342" s="13" t="str">
        <f t="shared" si="177"/>
        <v>PRODOTTI ALIMENTARI</v>
      </c>
      <c r="E2342" s="13" t="str">
        <f t="shared" si="178"/>
        <v xml:space="preserve">DAC SPA </v>
      </c>
      <c r="F2342" s="13" t="s">
        <v>16</v>
      </c>
      <c r="G2342" s="15">
        <v>408.39</v>
      </c>
    </row>
    <row r="2343" spans="1:7" ht="22.5" x14ac:dyDescent="0.25">
      <c r="A2343" s="13">
        <v>14701</v>
      </c>
      <c r="B2343" s="14">
        <v>43453.529826388891</v>
      </c>
      <c r="C2343" s="13" t="s">
        <v>10</v>
      </c>
      <c r="D2343" s="13" t="str">
        <f t="shared" si="177"/>
        <v>PRODOTTI ALIMENTARI</v>
      </c>
      <c r="E2343" s="13" t="str">
        <f t="shared" si="178"/>
        <v xml:space="preserve">DAC SPA </v>
      </c>
      <c r="F2343" s="13" t="s">
        <v>16</v>
      </c>
      <c r="G2343" s="15">
        <v>107.56</v>
      </c>
    </row>
    <row r="2344" spans="1:7" ht="22.5" x14ac:dyDescent="0.25">
      <c r="A2344" s="13">
        <v>14702</v>
      </c>
      <c r="B2344" s="14">
        <v>43453.529826388891</v>
      </c>
      <c r="C2344" s="13" t="s">
        <v>10</v>
      </c>
      <c r="D2344" s="13" t="str">
        <f t="shared" si="177"/>
        <v>PRODOTTI ALIMENTARI</v>
      </c>
      <c r="E2344" s="13" t="str">
        <f t="shared" si="178"/>
        <v xml:space="preserve">DAC SPA </v>
      </c>
      <c r="F2344" s="13" t="s">
        <v>16</v>
      </c>
      <c r="G2344" s="15">
        <v>658.99</v>
      </c>
    </row>
    <row r="2345" spans="1:7" ht="22.5" x14ac:dyDescent="0.25">
      <c r="A2345" s="13">
        <v>14703</v>
      </c>
      <c r="B2345" s="14">
        <v>43453.529826388891</v>
      </c>
      <c r="C2345" s="13" t="s">
        <v>10</v>
      </c>
      <c r="D2345" s="13" t="str">
        <f t="shared" si="177"/>
        <v>PRODOTTI ALIMENTARI</v>
      </c>
      <c r="E2345" s="13" t="str">
        <f t="shared" si="178"/>
        <v xml:space="preserve">DAC SPA </v>
      </c>
      <c r="F2345" s="13" t="s">
        <v>16</v>
      </c>
      <c r="G2345" s="15">
        <v>552.12</v>
      </c>
    </row>
    <row r="2346" spans="1:7" ht="22.5" x14ac:dyDescent="0.25">
      <c r="A2346" s="13">
        <v>14704</v>
      </c>
      <c r="B2346" s="14">
        <v>43453.529826388891</v>
      </c>
      <c r="C2346" s="13" t="s">
        <v>10</v>
      </c>
      <c r="D2346" s="13" t="str">
        <f t="shared" si="177"/>
        <v>PRODOTTI ALIMENTARI</v>
      </c>
      <c r="E2346" s="13" t="str">
        <f t="shared" si="178"/>
        <v xml:space="preserve">DAC SPA </v>
      </c>
      <c r="F2346" s="13" t="s">
        <v>16</v>
      </c>
      <c r="G2346" s="15">
        <v>99</v>
      </c>
    </row>
    <row r="2347" spans="1:7" ht="22.5" x14ac:dyDescent="0.25">
      <c r="A2347" s="13">
        <v>14705</v>
      </c>
      <c r="B2347" s="14">
        <v>43453.529826388891</v>
      </c>
      <c r="C2347" s="13" t="s">
        <v>10</v>
      </c>
      <c r="D2347" s="13" t="str">
        <f t="shared" si="177"/>
        <v>PRODOTTI ALIMENTARI</v>
      </c>
      <c r="E2347" s="13" t="str">
        <f t="shared" si="178"/>
        <v xml:space="preserve">DAC SPA </v>
      </c>
      <c r="F2347" s="13" t="s">
        <v>16</v>
      </c>
      <c r="G2347" s="15">
        <v>188.01</v>
      </c>
    </row>
    <row r="2348" spans="1:7" ht="22.5" x14ac:dyDescent="0.25">
      <c r="A2348" s="13">
        <v>14706</v>
      </c>
      <c r="B2348" s="14">
        <v>43453.529826388891</v>
      </c>
      <c r="C2348" s="13" t="s">
        <v>10</v>
      </c>
      <c r="D2348" s="13" t="str">
        <f t="shared" si="177"/>
        <v>PRODOTTI ALIMENTARI</v>
      </c>
      <c r="E2348" s="13" t="str">
        <f t="shared" si="178"/>
        <v xml:space="preserve">DAC SPA </v>
      </c>
      <c r="F2348" s="13" t="s">
        <v>16</v>
      </c>
      <c r="G2348" s="15">
        <v>181.99</v>
      </c>
    </row>
    <row r="2349" spans="1:7" ht="22.5" x14ac:dyDescent="0.25">
      <c r="A2349" s="13">
        <v>14707</v>
      </c>
      <c r="B2349" s="14">
        <v>43453.529826388891</v>
      </c>
      <c r="C2349" s="13" t="s">
        <v>10</v>
      </c>
      <c r="D2349" s="13" t="str">
        <f t="shared" si="177"/>
        <v>PRODOTTI ALIMENTARI</v>
      </c>
      <c r="E2349" s="13" t="str">
        <f t="shared" si="178"/>
        <v xml:space="preserve">DAC SPA </v>
      </c>
      <c r="F2349" s="13" t="s">
        <v>16</v>
      </c>
      <c r="G2349" s="15">
        <v>213.46</v>
      </c>
    </row>
    <row r="2350" spans="1:7" ht="22.5" x14ac:dyDescent="0.25">
      <c r="A2350" s="13">
        <v>14708</v>
      </c>
      <c r="B2350" s="14">
        <v>43453.529826388891</v>
      </c>
      <c r="C2350" s="13" t="s">
        <v>10</v>
      </c>
      <c r="D2350" s="13" t="str">
        <f t="shared" si="177"/>
        <v>PRODOTTI ALIMENTARI</v>
      </c>
      <c r="E2350" s="13" t="str">
        <f t="shared" si="178"/>
        <v xml:space="preserve">DAC SPA </v>
      </c>
      <c r="F2350" s="13" t="s">
        <v>16</v>
      </c>
      <c r="G2350" s="15">
        <v>177.09</v>
      </c>
    </row>
    <row r="2351" spans="1:7" ht="22.5" x14ac:dyDescent="0.25">
      <c r="A2351" s="13">
        <v>14709</v>
      </c>
      <c r="B2351" s="14">
        <v>43453.529826388891</v>
      </c>
      <c r="C2351" s="13" t="s">
        <v>10</v>
      </c>
      <c r="D2351" s="13" t="str">
        <f t="shared" si="177"/>
        <v>PRODOTTI ALIMENTARI</v>
      </c>
      <c r="E2351" s="13" t="str">
        <f t="shared" si="178"/>
        <v xml:space="preserve">DAC SPA </v>
      </c>
      <c r="F2351" s="13" t="s">
        <v>16</v>
      </c>
      <c r="G2351" s="15">
        <v>323.72000000000003</v>
      </c>
    </row>
    <row r="2352" spans="1:7" ht="22.5" x14ac:dyDescent="0.25">
      <c r="A2352" s="13">
        <v>14710</v>
      </c>
      <c r="B2352" s="14">
        <v>43453.529826388891</v>
      </c>
      <c r="C2352" s="13" t="s">
        <v>10</v>
      </c>
      <c r="D2352" s="13" t="str">
        <f t="shared" si="177"/>
        <v>PRODOTTI ALIMENTARI</v>
      </c>
      <c r="E2352" s="13" t="str">
        <f t="shared" si="178"/>
        <v xml:space="preserve">DAC SPA </v>
      </c>
      <c r="F2352" s="13" t="s">
        <v>16</v>
      </c>
      <c r="G2352" s="15">
        <v>178.4</v>
      </c>
    </row>
    <row r="2353" spans="1:7" ht="22.5" x14ac:dyDescent="0.25">
      <c r="A2353" s="13">
        <v>14711</v>
      </c>
      <c r="B2353" s="14">
        <v>43453.529826388891</v>
      </c>
      <c r="C2353" s="13" t="s">
        <v>10</v>
      </c>
      <c r="D2353" s="13" t="str">
        <f t="shared" si="177"/>
        <v>PRODOTTI ALIMENTARI</v>
      </c>
      <c r="E2353" s="13" t="str">
        <f t="shared" si="178"/>
        <v xml:space="preserve">DAC SPA </v>
      </c>
      <c r="F2353" s="13" t="s">
        <v>16</v>
      </c>
      <c r="G2353" s="15">
        <v>178.3</v>
      </c>
    </row>
    <row r="2354" spans="1:7" ht="22.5" x14ac:dyDescent="0.25">
      <c r="A2354" s="13">
        <v>14712</v>
      </c>
      <c r="B2354" s="14">
        <v>43453.529826388891</v>
      </c>
      <c r="C2354" s="13" t="s">
        <v>10</v>
      </c>
      <c r="D2354" s="13" t="str">
        <f t="shared" si="177"/>
        <v>PRODOTTI ALIMENTARI</v>
      </c>
      <c r="E2354" s="13" t="str">
        <f t="shared" si="178"/>
        <v xml:space="preserve">DAC SPA </v>
      </c>
      <c r="F2354" s="13" t="s">
        <v>16</v>
      </c>
      <c r="G2354" s="15">
        <v>85.2</v>
      </c>
    </row>
    <row r="2355" spans="1:7" ht="22.5" x14ac:dyDescent="0.25">
      <c r="A2355" s="13">
        <v>14713</v>
      </c>
      <c r="B2355" s="14">
        <v>43453.529826388891</v>
      </c>
      <c r="C2355" s="13" t="s">
        <v>10</v>
      </c>
      <c r="D2355" s="13" t="str">
        <f t="shared" si="177"/>
        <v>PRODOTTI ALIMENTARI</v>
      </c>
      <c r="E2355" s="13" t="str">
        <f t="shared" si="178"/>
        <v xml:space="preserve">DAC SPA </v>
      </c>
      <c r="F2355" s="13" t="s">
        <v>16</v>
      </c>
      <c r="G2355" s="15">
        <v>30.38</v>
      </c>
    </row>
    <row r="2356" spans="1:7" ht="22.5" x14ac:dyDescent="0.25">
      <c r="A2356" s="13">
        <v>14714</v>
      </c>
      <c r="B2356" s="14">
        <v>43453.529826388891</v>
      </c>
      <c r="C2356" s="13" t="s">
        <v>10</v>
      </c>
      <c r="D2356" s="13" t="str">
        <f t="shared" si="177"/>
        <v>PRODOTTI ALIMENTARI</v>
      </c>
      <c r="E2356" s="13" t="str">
        <f t="shared" si="178"/>
        <v xml:space="preserve">DAC SPA </v>
      </c>
      <c r="F2356" s="13" t="s">
        <v>16</v>
      </c>
      <c r="G2356" s="15">
        <v>10.5</v>
      </c>
    </row>
    <row r="2357" spans="1:7" ht="22.5" x14ac:dyDescent="0.25">
      <c r="A2357" s="13">
        <v>14715</v>
      </c>
      <c r="B2357" s="14">
        <v>43453.529826388891</v>
      </c>
      <c r="C2357" s="13" t="s">
        <v>10</v>
      </c>
      <c r="D2357" s="13" t="str">
        <f t="shared" si="177"/>
        <v>PRODOTTI ALIMENTARI</v>
      </c>
      <c r="E2357" s="13" t="str">
        <f t="shared" si="178"/>
        <v xml:space="preserve">DAC SPA </v>
      </c>
      <c r="F2357" s="13" t="s">
        <v>16</v>
      </c>
      <c r="G2357" s="15">
        <v>199.7</v>
      </c>
    </row>
    <row r="2358" spans="1:7" ht="22.5" x14ac:dyDescent="0.25">
      <c r="A2358" s="13">
        <v>14716</v>
      </c>
      <c r="B2358" s="14">
        <v>43453.529826388891</v>
      </c>
      <c r="C2358" s="13" t="s">
        <v>10</v>
      </c>
      <c r="D2358" s="13" t="str">
        <f t="shared" si="177"/>
        <v>PRODOTTI ALIMENTARI</v>
      </c>
      <c r="E2358" s="13" t="str">
        <f t="shared" si="178"/>
        <v xml:space="preserve">DAC SPA </v>
      </c>
      <c r="F2358" s="13" t="s">
        <v>16</v>
      </c>
      <c r="G2358" s="15">
        <v>171.2</v>
      </c>
    </row>
    <row r="2359" spans="1:7" ht="22.5" x14ac:dyDescent="0.25">
      <c r="A2359" s="13">
        <v>14717</v>
      </c>
      <c r="B2359" s="14">
        <v>43453.52983796296</v>
      </c>
      <c r="C2359" s="13" t="s">
        <v>10</v>
      </c>
      <c r="D2359" s="13" t="str">
        <f t="shared" si="177"/>
        <v>PRODOTTI ALIMENTARI</v>
      </c>
      <c r="E2359" s="13" t="str">
        <f t="shared" si="178"/>
        <v xml:space="preserve">DAC SPA </v>
      </c>
      <c r="F2359" s="13" t="s">
        <v>16</v>
      </c>
      <c r="G2359" s="15">
        <v>191.25</v>
      </c>
    </row>
    <row r="2360" spans="1:7" ht="22.5" x14ac:dyDescent="0.25">
      <c r="A2360" s="13">
        <v>14718</v>
      </c>
      <c r="B2360" s="14">
        <v>43453.529861111114</v>
      </c>
      <c r="C2360" s="13" t="s">
        <v>10</v>
      </c>
      <c r="D2360" s="13" t="str">
        <f>"ACQUA GAS RAI TV"</f>
        <v>ACQUA GAS RAI TV</v>
      </c>
      <c r="E2360" s="13" t="str">
        <f>"MM SPA"</f>
        <v>MM SPA</v>
      </c>
      <c r="F2360" s="13" t="s">
        <v>19</v>
      </c>
      <c r="G2360" s="15">
        <v>13</v>
      </c>
    </row>
    <row r="2361" spans="1:7" ht="22.5" x14ac:dyDescent="0.25">
      <c r="A2361" s="13">
        <v>14719</v>
      </c>
      <c r="B2361" s="14">
        <v>43453.529861111114</v>
      </c>
      <c r="C2361" s="13" t="s">
        <v>10</v>
      </c>
      <c r="D2361" s="13" t="str">
        <f>"ACQUA GAS RAI TV"</f>
        <v>ACQUA GAS RAI TV</v>
      </c>
      <c r="E2361" s="13" t="str">
        <f>"SOENERGY SRL"</f>
        <v>SOENERGY SRL</v>
      </c>
      <c r="F2361" s="13" t="s">
        <v>19</v>
      </c>
      <c r="G2361" s="15">
        <v>2.0699999999999998</v>
      </c>
    </row>
    <row r="2362" spans="1:7" ht="33.75" x14ac:dyDescent="0.25">
      <c r="A2362" s="13">
        <v>14720</v>
      </c>
      <c r="B2362" s="14">
        <v>43453.529861111114</v>
      </c>
      <c r="C2362" s="13" t="s">
        <v>10</v>
      </c>
      <c r="D2362" s="13" t="str">
        <f>"FT RIC FONDAZIONE IRCCS CA' GRANDA-OSPEDALE MAGGIORE-POLICLINICO"</f>
        <v>FT RIC FONDAZIONE IRCCS CA' GRANDA-OSPEDALE MAGGIORE-POLICLINICO</v>
      </c>
      <c r="E2362" s="13" t="str">
        <f>"FONDAZIONE IRCCS  CA'  GRANDA - OSPEDALE MAGGIORE - POLICLINICO"</f>
        <v>FONDAZIONE IRCCS  CA'  GRANDA - OSPEDALE MAGGIORE - POLICLINICO</v>
      </c>
      <c r="F2362" s="13" t="s">
        <v>32</v>
      </c>
      <c r="G2362" s="15">
        <v>55331.5</v>
      </c>
    </row>
    <row r="2363" spans="1:7" ht="22.5" x14ac:dyDescent="0.25">
      <c r="A2363" s="13">
        <v>14721</v>
      </c>
      <c r="B2363" s="14">
        <v>43453.529861111114</v>
      </c>
      <c r="C2363" s="13" t="s">
        <v>10</v>
      </c>
      <c r="D2363" s="13" t="str">
        <f>"NC RIC FOND IRCCS CA GRANDA OSP MAGGIORE"</f>
        <v>NC RIC FOND IRCCS CA GRANDA OSP MAGGIORE</v>
      </c>
      <c r="E2363" s="13" t="str">
        <f>"FONDAZIONE IRCCS  CA'  GRANDA - OSPEDALE MAGGIORE - POLICLINICO"</f>
        <v>FONDAZIONE IRCCS  CA'  GRANDA - OSPEDALE MAGGIORE - POLICLINICO</v>
      </c>
      <c r="F2363" s="13" t="str">
        <f>"ACQ.PREST.SAN.DA STRUTT.SAN.REG."</f>
        <v>ACQ.PREST.SAN.DA STRUTT.SAN.REG.</v>
      </c>
      <c r="G2363" s="15">
        <v>800</v>
      </c>
    </row>
    <row r="2364" spans="1:7" ht="22.5" x14ac:dyDescent="0.25">
      <c r="A2364" s="13">
        <v>14722</v>
      </c>
      <c r="B2364" s="14">
        <v>43453.529861111114</v>
      </c>
      <c r="C2364" s="13" t="s">
        <v>10</v>
      </c>
      <c r="D2364" s="13" t="str">
        <f>"TELEFONO"</f>
        <v>TELEFONO</v>
      </c>
      <c r="E2364" s="13" t="str">
        <f>"TELECOM ITALIA SPA"</f>
        <v>TELECOM ITALIA SPA</v>
      </c>
      <c r="F2364" s="13" t="s">
        <v>20</v>
      </c>
      <c r="G2364" s="15">
        <v>29.48</v>
      </c>
    </row>
    <row r="2365" spans="1:7" ht="22.5" x14ac:dyDescent="0.25">
      <c r="A2365" s="13">
        <v>14723</v>
      </c>
      <c r="B2365" s="14">
        <v>43453.586041666669</v>
      </c>
      <c r="C2365" s="13" t="s">
        <v>10</v>
      </c>
      <c r="D2365" s="13" t="str">
        <f>"PRODOTTI FARMACEUTICI CON AIC"</f>
        <v>PRODOTTI FARMACEUTICI CON AIC</v>
      </c>
      <c r="E2365" s="13" t="str">
        <f>"S.A.L.F. SPA"</f>
        <v>S.A.L.F. SPA</v>
      </c>
      <c r="F2365" s="13" t="s">
        <v>14</v>
      </c>
      <c r="G2365" s="15">
        <v>43.6</v>
      </c>
    </row>
    <row r="2366" spans="1:7" ht="22.5" x14ac:dyDescent="0.25">
      <c r="A2366" s="13">
        <v>14724</v>
      </c>
      <c r="B2366" s="14">
        <v>43453.586192129631</v>
      </c>
      <c r="C2366" s="13" t="s">
        <v>10</v>
      </c>
      <c r="D2366" s="13" t="str">
        <f>"SERVIZIO CUCINA GORLA"</f>
        <v>SERVIZIO CUCINA GORLA</v>
      </c>
      <c r="E2366" s="13" t="str">
        <f>"SARCA CATERING SRL a Socio Unico"</f>
        <v>SARCA CATERING SRL a Socio Unico</v>
      </c>
      <c r="F2366" s="13" t="s">
        <v>17</v>
      </c>
      <c r="G2366" s="15">
        <v>24646.65</v>
      </c>
    </row>
    <row r="2367" spans="1:7" ht="22.5" x14ac:dyDescent="0.25">
      <c r="A2367" s="13">
        <v>14725</v>
      </c>
      <c r="B2367" s="14">
        <v>43453.586192129631</v>
      </c>
      <c r="C2367" s="13" t="s">
        <v>10</v>
      </c>
      <c r="D2367" s="13" t="str">
        <f>"SERVIZIO CUCINA GORLA"</f>
        <v>SERVIZIO CUCINA GORLA</v>
      </c>
      <c r="E2367" s="13" t="str">
        <f>"SARCA CATERING SRL a Socio Unico"</f>
        <v>SARCA CATERING SRL a Socio Unico</v>
      </c>
      <c r="F2367" s="13" t="s">
        <v>17</v>
      </c>
      <c r="G2367" s="15">
        <v>58.33</v>
      </c>
    </row>
    <row r="2368" spans="1:7" ht="22.5" x14ac:dyDescent="0.25">
      <c r="A2368" s="13">
        <v>14726</v>
      </c>
      <c r="B2368" s="14">
        <v>43453.586192129631</v>
      </c>
      <c r="C2368" s="13" t="s">
        <v>10</v>
      </c>
      <c r="D2368" s="13" t="str">
        <f>"SERVIZIO CUCINA GORLA"</f>
        <v>SERVIZIO CUCINA GORLA</v>
      </c>
      <c r="E2368" s="13" t="str">
        <f>"SARCA CATERING SRL a Socio Unico"</f>
        <v>SARCA CATERING SRL a Socio Unico</v>
      </c>
      <c r="F2368" s="13" t="s">
        <v>17</v>
      </c>
      <c r="G2368" s="15">
        <v>92.98</v>
      </c>
    </row>
    <row r="2369" spans="1:7" ht="22.5" x14ac:dyDescent="0.25">
      <c r="A2369" s="13">
        <v>14727</v>
      </c>
      <c r="B2369" s="14">
        <v>43453.586331018516</v>
      </c>
      <c r="C2369" s="13" t="s">
        <v>10</v>
      </c>
      <c r="D2369" s="13" t="str">
        <f>"FARMACI FILE F"</f>
        <v>FARMACI FILE F</v>
      </c>
      <c r="E2369" s="13" t="str">
        <f>"ROCHE SPA Societa Unipersonale"</f>
        <v>ROCHE SPA Societa Unipersonale</v>
      </c>
      <c r="F2369" s="13" t="s">
        <v>14</v>
      </c>
      <c r="G2369" s="15">
        <v>36173.46</v>
      </c>
    </row>
    <row r="2370" spans="1:7" ht="22.5" x14ac:dyDescent="0.25">
      <c r="A2370" s="13">
        <v>14728</v>
      </c>
      <c r="B2370" s="14">
        <v>43453.586331018516</v>
      </c>
      <c r="C2370" s="13" t="s">
        <v>10</v>
      </c>
      <c r="D2370" s="13" t="str">
        <f>"FARMACI FILE F"</f>
        <v>FARMACI FILE F</v>
      </c>
      <c r="E2370" s="13" t="str">
        <f>"ROCHE SPA Societa Unipersonale"</f>
        <v>ROCHE SPA Societa Unipersonale</v>
      </c>
      <c r="F2370" s="13" t="s">
        <v>14</v>
      </c>
      <c r="G2370" s="15">
        <v>48333.49</v>
      </c>
    </row>
    <row r="2371" spans="1:7" ht="22.5" x14ac:dyDescent="0.25">
      <c r="A2371" s="13">
        <v>14729</v>
      </c>
      <c r="B2371" s="14">
        <v>43453.586504629631</v>
      </c>
      <c r="C2371" s="13" t="s">
        <v>10</v>
      </c>
      <c r="D2371" s="13" t="str">
        <f>"FARMACI FILE F"</f>
        <v>FARMACI FILE F</v>
      </c>
      <c r="E2371" s="13" t="str">
        <f>"ROCHE SPA Societa Unipersonale"</f>
        <v>ROCHE SPA Societa Unipersonale</v>
      </c>
      <c r="F2371" s="13" t="s">
        <v>14</v>
      </c>
      <c r="G2371" s="15">
        <v>9594.24</v>
      </c>
    </row>
    <row r="2372" spans="1:7" ht="22.5" x14ac:dyDescent="0.25">
      <c r="A2372" s="13">
        <v>14730</v>
      </c>
      <c r="B2372" s="14">
        <v>43453.586504629631</v>
      </c>
      <c r="C2372" s="13" t="s">
        <v>10</v>
      </c>
      <c r="D2372" s="13" t="str">
        <f>"FARMACI FILE F"</f>
        <v>FARMACI FILE F</v>
      </c>
      <c r="E2372" s="13" t="str">
        <f>"ROCHE SPA Societa Unipersonale"</f>
        <v>ROCHE SPA Societa Unipersonale</v>
      </c>
      <c r="F2372" s="13" t="s">
        <v>14</v>
      </c>
      <c r="G2372" s="15">
        <v>13591.84</v>
      </c>
    </row>
    <row r="2373" spans="1:7" ht="22.5" x14ac:dyDescent="0.25">
      <c r="A2373" s="13">
        <v>14731</v>
      </c>
      <c r="B2373" s="14">
        <v>43453.586504629631</v>
      </c>
      <c r="C2373" s="13" t="s">
        <v>10</v>
      </c>
      <c r="D2373" s="13" t="str">
        <f>"FARMACI FILE F"</f>
        <v>FARMACI FILE F</v>
      </c>
      <c r="E2373" s="13" t="str">
        <f>"ROCHE SPA Societa Unipersonale"</f>
        <v>ROCHE SPA Societa Unipersonale</v>
      </c>
      <c r="F2373" s="13" t="s">
        <v>14</v>
      </c>
      <c r="G2373" s="15">
        <v>23186.080000000002</v>
      </c>
    </row>
    <row r="2374" spans="1:7" ht="22.5" x14ac:dyDescent="0.25">
      <c r="A2374" s="13">
        <v>14732</v>
      </c>
      <c r="B2374" s="14">
        <v>43453.586631944447</v>
      </c>
      <c r="C2374" s="13" t="s">
        <v>10</v>
      </c>
      <c r="D2374" s="13" t="str">
        <f>"CANCELLERIA E SUPPORTI MECCANOGRAFICI"</f>
        <v>CANCELLERIA E SUPPORTI MECCANOGRAFICI</v>
      </c>
      <c r="E2374" s="13" t="str">
        <f>"RUBBETTINO SRL"</f>
        <v>RUBBETTINO SRL</v>
      </c>
      <c r="F2374" s="13" t="s">
        <v>14</v>
      </c>
      <c r="G2374" s="15">
        <v>176.5</v>
      </c>
    </row>
    <row r="2375" spans="1:7" ht="22.5" x14ac:dyDescent="0.25">
      <c r="A2375" s="13">
        <v>14733</v>
      </c>
      <c r="B2375" s="14">
        <v>43453.586631944447</v>
      </c>
      <c r="C2375" s="13" t="s">
        <v>10</v>
      </c>
      <c r="D2375" s="13" t="str">
        <f>"CANCELLERIA E SUPPORTI MECCANOGRAFICI"</f>
        <v>CANCELLERIA E SUPPORTI MECCANOGRAFICI</v>
      </c>
      <c r="E2375" s="13" t="str">
        <f>"RUBBETTINO SRL"</f>
        <v>RUBBETTINO SRL</v>
      </c>
      <c r="F2375" s="13" t="s">
        <v>14</v>
      </c>
      <c r="G2375" s="15">
        <v>1017.9</v>
      </c>
    </row>
    <row r="2376" spans="1:7" ht="22.5" x14ac:dyDescent="0.25">
      <c r="A2376" s="13">
        <v>14734</v>
      </c>
      <c r="B2376" s="14">
        <v>43453.586631944447</v>
      </c>
      <c r="C2376" s="13" t="s">
        <v>10</v>
      </c>
      <c r="D2376" s="13" t="str">
        <f>"CANCELLERIA E SUPPORTI MECCANOGRAFICI"</f>
        <v>CANCELLERIA E SUPPORTI MECCANOGRAFICI</v>
      </c>
      <c r="E2376" s="13" t="str">
        <f>"RUBBETTINO SRL"</f>
        <v>RUBBETTINO SRL</v>
      </c>
      <c r="F2376" s="13" t="s">
        <v>14</v>
      </c>
      <c r="G2376" s="15">
        <v>3162</v>
      </c>
    </row>
    <row r="2377" spans="1:7" ht="33.75" x14ac:dyDescent="0.25">
      <c r="A2377" s="13">
        <v>14735</v>
      </c>
      <c r="B2377" s="14">
        <v>43453.586851851855</v>
      </c>
      <c r="C2377" s="13" t="s">
        <v>10</v>
      </c>
      <c r="D2377" s="13" t="str">
        <f>"DISINFETTANTI, PRODOTTI PER STERILIZZAZIONE E DISPOSITIVI VARI V"</f>
        <v>DISINFETTANTI, PRODOTTI PER STERILIZZAZIONE E DISPOSITIVI VARI V</v>
      </c>
      <c r="E2377" s="13" t="str">
        <f>"S.A.L.F. SPA"</f>
        <v>S.A.L.F. SPA</v>
      </c>
      <c r="F2377" s="13" t="s">
        <v>14</v>
      </c>
      <c r="G2377" s="15">
        <v>600</v>
      </c>
    </row>
    <row r="2378" spans="1:7" ht="22.5" x14ac:dyDescent="0.25">
      <c r="A2378" s="13">
        <v>14736</v>
      </c>
      <c r="B2378" s="14">
        <v>43453.58697916667</v>
      </c>
      <c r="C2378" s="13" t="s">
        <v>10</v>
      </c>
      <c r="D2378" s="13" t="str">
        <f>"FARMACI FILE F"</f>
        <v>FARMACI FILE F</v>
      </c>
      <c r="E2378" s="13" t="str">
        <f>"SANDOZ SPA"</f>
        <v>SANDOZ SPA</v>
      </c>
      <c r="F2378" s="13" t="s">
        <v>14</v>
      </c>
      <c r="G2378" s="15">
        <v>2018.6</v>
      </c>
    </row>
    <row r="2379" spans="1:7" ht="22.5" x14ac:dyDescent="0.25">
      <c r="A2379" s="13">
        <v>14737</v>
      </c>
      <c r="B2379" s="14">
        <v>43453.587175925924</v>
      </c>
      <c r="C2379" s="13" t="s">
        <v>10</v>
      </c>
      <c r="D2379" s="13" t="str">
        <f>"FARMACI FILE F"</f>
        <v>FARMACI FILE F</v>
      </c>
      <c r="E2379" s="13" t="str">
        <f>"SANDOZ SPA"</f>
        <v>SANDOZ SPA</v>
      </c>
      <c r="F2379" s="13" t="s">
        <v>14</v>
      </c>
      <c r="G2379" s="15">
        <v>326.88</v>
      </c>
    </row>
    <row r="2380" spans="1:7" ht="22.5" x14ac:dyDescent="0.25">
      <c r="A2380" s="13">
        <v>14738</v>
      </c>
      <c r="B2380" s="14">
        <v>43453.58730324074</v>
      </c>
      <c r="C2380" s="13" t="s">
        <v>10</v>
      </c>
      <c r="D2380" s="13" t="str">
        <f>"FARMACI FILE F"</f>
        <v>FARMACI FILE F</v>
      </c>
      <c r="E2380" s="13" t="str">
        <f>"SWEDISH ORPHAN BIOVITRUM SRL"</f>
        <v>SWEDISH ORPHAN BIOVITRUM SRL</v>
      </c>
      <c r="F2380" s="13" t="s">
        <v>14</v>
      </c>
      <c r="G2380" s="15">
        <v>11020.21</v>
      </c>
    </row>
    <row r="2381" spans="1:7" ht="22.5" x14ac:dyDescent="0.25">
      <c r="A2381" s="13">
        <v>14739</v>
      </c>
      <c r="B2381" s="14">
        <v>43453.58730324074</v>
      </c>
      <c r="C2381" s="13" t="s">
        <v>10</v>
      </c>
      <c r="D2381" s="13" t="str">
        <f>"FARMACI FILE F"</f>
        <v>FARMACI FILE F</v>
      </c>
      <c r="E2381" s="13" t="str">
        <f>"SWEDISH ORPHAN BIOVITRUM SRL"</f>
        <v>SWEDISH ORPHAN BIOVITRUM SRL</v>
      </c>
      <c r="F2381" s="13" t="s">
        <v>14</v>
      </c>
      <c r="G2381" s="15">
        <v>4408.08</v>
      </c>
    </row>
    <row r="2382" spans="1:7" ht="22.5" x14ac:dyDescent="0.25">
      <c r="A2382" s="13">
        <v>14740</v>
      </c>
      <c r="B2382" s="14">
        <v>43453.587465277778</v>
      </c>
      <c r="C2382" s="13" t="s">
        <v>10</v>
      </c>
      <c r="D2382" s="13" t="str">
        <f>"ALTRI SERVIZI S.T."</f>
        <v>ALTRI SERVIZI S.T.</v>
      </c>
      <c r="E2382" s="13" t="str">
        <f>"TESI SRL TECNOLOGIE &amp; SICUREZZA"</f>
        <v>TESI SRL TECNOLOGIE &amp; SICUREZZA</v>
      </c>
      <c r="F2382" s="13" t="str">
        <f>"ALTRE SPESE PER SERV.NON SANITARI"</f>
        <v>ALTRE SPESE PER SERV.NON SANITARI</v>
      </c>
      <c r="G2382" s="15">
        <v>860</v>
      </c>
    </row>
    <row r="2383" spans="1:7" ht="22.5" x14ac:dyDescent="0.25">
      <c r="A2383" s="13">
        <v>14741</v>
      </c>
      <c r="B2383" s="14">
        <v>43453.587604166663</v>
      </c>
      <c r="C2383" s="13" t="s">
        <v>10</v>
      </c>
      <c r="D2383" s="13" t="str">
        <f>"PRODOTTI FARMACEUTICI CON AIC"</f>
        <v>PRODOTTI FARMACEUTICI CON AIC</v>
      </c>
      <c r="E2383" s="13" t="str">
        <f>"TEVA ITALIA SRL a Socio Unico"</f>
        <v>TEVA ITALIA SRL a Socio Unico</v>
      </c>
      <c r="F2383" s="13" t="s">
        <v>14</v>
      </c>
      <c r="G2383" s="15">
        <v>83.15</v>
      </c>
    </row>
    <row r="2384" spans="1:7" ht="22.5" x14ac:dyDescent="0.25">
      <c r="A2384" s="13">
        <v>14742</v>
      </c>
      <c r="B2384" s="14">
        <v>43453.587731481479</v>
      </c>
      <c r="C2384" s="13" t="s">
        <v>10</v>
      </c>
      <c r="D2384" s="13" t="str">
        <f>"MATERIALE PROTESICO"</f>
        <v>MATERIALE PROTESICO</v>
      </c>
      <c r="E2384" s="13" t="str">
        <f>"TORNIER SRL Societa Unipersonale"</f>
        <v>TORNIER SRL Societa Unipersonale</v>
      </c>
      <c r="F2384" s="13" t="s">
        <v>14</v>
      </c>
      <c r="G2384" s="15">
        <v>2214</v>
      </c>
    </row>
    <row r="2385" spans="1:7" ht="22.5" x14ac:dyDescent="0.25">
      <c r="A2385" s="13">
        <v>14743</v>
      </c>
      <c r="B2385" s="14">
        <v>43453.587858796294</v>
      </c>
      <c r="C2385" s="13" t="s">
        <v>10</v>
      </c>
      <c r="D2385" s="13" t="str">
        <f>"MATERIALE PROTESICO"</f>
        <v>MATERIALE PROTESICO</v>
      </c>
      <c r="E2385" s="13" t="str">
        <f>"TORNIER SRL Societa Unipersonale"</f>
        <v>TORNIER SRL Societa Unipersonale</v>
      </c>
      <c r="F2385" s="13" t="s">
        <v>14</v>
      </c>
      <c r="G2385" s="15">
        <v>1627.5</v>
      </c>
    </row>
    <row r="2386" spans="1:7" ht="22.5" x14ac:dyDescent="0.25">
      <c r="A2386" s="13">
        <v>14744</v>
      </c>
      <c r="B2386" s="14">
        <v>43453.58797453704</v>
      </c>
      <c r="C2386" s="13" t="s">
        <v>10</v>
      </c>
      <c r="D2386" s="13" t="str">
        <f>"MATERIALE PROTESICO"</f>
        <v>MATERIALE PROTESICO</v>
      </c>
      <c r="E2386" s="13" t="str">
        <f>"TORNIER SRL Societa Unipersonale"</f>
        <v>TORNIER SRL Societa Unipersonale</v>
      </c>
      <c r="F2386" s="13" t="s">
        <v>14</v>
      </c>
      <c r="G2386" s="15">
        <v>2486.5</v>
      </c>
    </row>
    <row r="2387" spans="1:7" ht="22.5" x14ac:dyDescent="0.25">
      <c r="A2387" s="13">
        <v>14745</v>
      </c>
      <c r="B2387" s="14">
        <v>43453.588101851848</v>
      </c>
      <c r="C2387" s="13" t="s">
        <v>11</v>
      </c>
      <c r="D2387" s="13" t="str">
        <f>"MANUTENZIONE ALTRI BENI ST"</f>
        <v>MANUTENZIONE ALTRI BENI ST</v>
      </c>
      <c r="E2387" s="13" t="str">
        <f>"TRA.NA.I. SRL"</f>
        <v>TRA.NA.I. SRL</v>
      </c>
      <c r="F2387" s="13" t="s">
        <v>22</v>
      </c>
      <c r="G2387" s="15">
        <v>335.75</v>
      </c>
    </row>
    <row r="2388" spans="1:7" ht="22.5" x14ac:dyDescent="0.25">
      <c r="A2388" s="13">
        <v>14746</v>
      </c>
      <c r="B2388" s="14">
        <v>43453.588240740741</v>
      </c>
      <c r="C2388" s="13" t="s">
        <v>10</v>
      </c>
      <c r="D2388" s="13" t="str">
        <f>"FARMACI FILE F"</f>
        <v>FARMACI FILE F</v>
      </c>
      <c r="E2388" s="13" t="str">
        <f>"UCB PHARMA SPA"</f>
        <v>UCB PHARMA SPA</v>
      </c>
      <c r="F2388" s="13" t="s">
        <v>14</v>
      </c>
      <c r="G2388" s="15">
        <v>17759.3</v>
      </c>
    </row>
    <row r="2389" spans="1:7" ht="22.5" x14ac:dyDescent="0.25">
      <c r="A2389" s="13">
        <v>14747</v>
      </c>
      <c r="B2389" s="14">
        <v>43453.588391203702</v>
      </c>
      <c r="C2389" s="13" t="s">
        <v>10</v>
      </c>
      <c r="D2389" s="13" t="str">
        <f t="shared" ref="D2389:D2407" si="179">"MATERIALE PROTESICO"</f>
        <v>MATERIALE PROTESICO</v>
      </c>
      <c r="E2389" s="13" t="str">
        <f t="shared" ref="E2389:E2429" si="180">"ZIMMER BIOMET ITALIA SRL"</f>
        <v>ZIMMER BIOMET ITALIA SRL</v>
      </c>
      <c r="F2389" s="13" t="s">
        <v>14</v>
      </c>
      <c r="G2389" s="15">
        <v>2324</v>
      </c>
    </row>
    <row r="2390" spans="1:7" ht="22.5" x14ac:dyDescent="0.25">
      <c r="A2390" s="13">
        <v>14748</v>
      </c>
      <c r="B2390" s="14">
        <v>43453.588518518518</v>
      </c>
      <c r="C2390" s="13" t="s">
        <v>10</v>
      </c>
      <c r="D2390" s="13" t="str">
        <f t="shared" si="179"/>
        <v>MATERIALE PROTESICO</v>
      </c>
      <c r="E2390" s="13" t="str">
        <f t="shared" si="180"/>
        <v>ZIMMER BIOMET ITALIA SRL</v>
      </c>
      <c r="F2390" s="13" t="s">
        <v>14</v>
      </c>
      <c r="G2390" s="15">
        <v>1752.4</v>
      </c>
    </row>
    <row r="2391" spans="1:7" ht="22.5" x14ac:dyDescent="0.25">
      <c r="A2391" s="13">
        <v>14749</v>
      </c>
      <c r="B2391" s="14">
        <v>43453.588518518518</v>
      </c>
      <c r="C2391" s="13" t="s">
        <v>10</v>
      </c>
      <c r="D2391" s="13" t="str">
        <f t="shared" si="179"/>
        <v>MATERIALE PROTESICO</v>
      </c>
      <c r="E2391" s="13" t="str">
        <f t="shared" si="180"/>
        <v>ZIMMER BIOMET ITALIA SRL</v>
      </c>
      <c r="F2391" s="13" t="s">
        <v>14</v>
      </c>
      <c r="G2391" s="15">
        <v>2631.2</v>
      </c>
    </row>
    <row r="2392" spans="1:7" ht="22.5" x14ac:dyDescent="0.25">
      <c r="A2392" s="13">
        <v>14750</v>
      </c>
      <c r="B2392" s="14">
        <v>43453.588645833333</v>
      </c>
      <c r="C2392" s="13" t="s">
        <v>10</v>
      </c>
      <c r="D2392" s="13" t="str">
        <f t="shared" si="179"/>
        <v>MATERIALE PROTESICO</v>
      </c>
      <c r="E2392" s="13" t="str">
        <f t="shared" si="180"/>
        <v>ZIMMER BIOMET ITALIA SRL</v>
      </c>
      <c r="F2392" s="13" t="s">
        <v>14</v>
      </c>
      <c r="G2392" s="15">
        <v>2608</v>
      </c>
    </row>
    <row r="2393" spans="1:7" ht="22.5" x14ac:dyDescent="0.25">
      <c r="A2393" s="13">
        <v>14751</v>
      </c>
      <c r="B2393" s="14">
        <v>43453.588796296295</v>
      </c>
      <c r="C2393" s="13" t="s">
        <v>10</v>
      </c>
      <c r="D2393" s="13" t="str">
        <f t="shared" si="179"/>
        <v>MATERIALE PROTESICO</v>
      </c>
      <c r="E2393" s="13" t="str">
        <f t="shared" si="180"/>
        <v>ZIMMER BIOMET ITALIA SRL</v>
      </c>
      <c r="F2393" s="13" t="s">
        <v>14</v>
      </c>
      <c r="G2393" s="15">
        <v>460.6</v>
      </c>
    </row>
    <row r="2394" spans="1:7" ht="22.5" x14ac:dyDescent="0.25">
      <c r="A2394" s="13">
        <v>14752</v>
      </c>
      <c r="B2394" s="14">
        <v>43453.588796296295</v>
      </c>
      <c r="C2394" s="13" t="s">
        <v>10</v>
      </c>
      <c r="D2394" s="13" t="str">
        <f t="shared" si="179"/>
        <v>MATERIALE PROTESICO</v>
      </c>
      <c r="E2394" s="13" t="str">
        <f t="shared" si="180"/>
        <v>ZIMMER BIOMET ITALIA SRL</v>
      </c>
      <c r="F2394" s="13" t="s">
        <v>14</v>
      </c>
      <c r="G2394" s="15">
        <v>460.6</v>
      </c>
    </row>
    <row r="2395" spans="1:7" ht="22.5" x14ac:dyDescent="0.25">
      <c r="A2395" s="13">
        <v>14753</v>
      </c>
      <c r="B2395" s="14">
        <v>43453.588796296295</v>
      </c>
      <c r="C2395" s="13" t="s">
        <v>10</v>
      </c>
      <c r="D2395" s="13" t="str">
        <f t="shared" si="179"/>
        <v>MATERIALE PROTESICO</v>
      </c>
      <c r="E2395" s="13" t="str">
        <f t="shared" si="180"/>
        <v>ZIMMER BIOMET ITALIA SRL</v>
      </c>
      <c r="F2395" s="13" t="s">
        <v>14</v>
      </c>
      <c r="G2395" s="15">
        <v>460.6</v>
      </c>
    </row>
    <row r="2396" spans="1:7" ht="22.5" x14ac:dyDescent="0.25">
      <c r="A2396" s="13">
        <v>14754</v>
      </c>
      <c r="B2396" s="14">
        <v>43453.588796296295</v>
      </c>
      <c r="C2396" s="13" t="s">
        <v>10</v>
      </c>
      <c r="D2396" s="13" t="str">
        <f t="shared" si="179"/>
        <v>MATERIALE PROTESICO</v>
      </c>
      <c r="E2396" s="13" t="str">
        <f t="shared" si="180"/>
        <v>ZIMMER BIOMET ITALIA SRL</v>
      </c>
      <c r="F2396" s="13" t="s">
        <v>14</v>
      </c>
      <c r="G2396" s="15">
        <v>460.6</v>
      </c>
    </row>
    <row r="2397" spans="1:7" ht="22.5" x14ac:dyDescent="0.25">
      <c r="A2397" s="13">
        <v>14755</v>
      </c>
      <c r="B2397" s="14">
        <v>43453.588796296295</v>
      </c>
      <c r="C2397" s="13" t="s">
        <v>10</v>
      </c>
      <c r="D2397" s="13" t="str">
        <f t="shared" si="179"/>
        <v>MATERIALE PROTESICO</v>
      </c>
      <c r="E2397" s="13" t="str">
        <f t="shared" si="180"/>
        <v>ZIMMER BIOMET ITALIA SRL</v>
      </c>
      <c r="F2397" s="13" t="s">
        <v>14</v>
      </c>
      <c r="G2397" s="15">
        <v>460.6</v>
      </c>
    </row>
    <row r="2398" spans="1:7" ht="22.5" x14ac:dyDescent="0.25">
      <c r="A2398" s="13">
        <v>14756</v>
      </c>
      <c r="B2398" s="14">
        <v>43453.588923611111</v>
      </c>
      <c r="C2398" s="13" t="s">
        <v>10</v>
      </c>
      <c r="D2398" s="13" t="str">
        <f t="shared" si="179"/>
        <v>MATERIALE PROTESICO</v>
      </c>
      <c r="E2398" s="13" t="str">
        <f t="shared" si="180"/>
        <v>ZIMMER BIOMET ITALIA SRL</v>
      </c>
      <c r="F2398" s="13" t="s">
        <v>14</v>
      </c>
      <c r="G2398" s="15">
        <v>2662.37</v>
      </c>
    </row>
    <row r="2399" spans="1:7" ht="22.5" x14ac:dyDescent="0.25">
      <c r="A2399" s="13">
        <v>14757</v>
      </c>
      <c r="B2399" s="14">
        <v>43453.588923611111</v>
      </c>
      <c r="C2399" s="13" t="s">
        <v>10</v>
      </c>
      <c r="D2399" s="13" t="str">
        <f t="shared" si="179"/>
        <v>MATERIALE PROTESICO</v>
      </c>
      <c r="E2399" s="13" t="str">
        <f t="shared" si="180"/>
        <v>ZIMMER BIOMET ITALIA SRL</v>
      </c>
      <c r="F2399" s="13" t="s">
        <v>14</v>
      </c>
      <c r="G2399" s="15">
        <v>2662.37</v>
      </c>
    </row>
    <row r="2400" spans="1:7" ht="22.5" x14ac:dyDescent="0.25">
      <c r="A2400" s="13">
        <v>14758</v>
      </c>
      <c r="B2400" s="14">
        <v>43453.588923611111</v>
      </c>
      <c r="C2400" s="13" t="s">
        <v>10</v>
      </c>
      <c r="D2400" s="13" t="str">
        <f t="shared" si="179"/>
        <v>MATERIALE PROTESICO</v>
      </c>
      <c r="E2400" s="13" t="str">
        <f t="shared" si="180"/>
        <v>ZIMMER BIOMET ITALIA SRL</v>
      </c>
      <c r="F2400" s="13" t="s">
        <v>14</v>
      </c>
      <c r="G2400" s="15">
        <v>2662.37</v>
      </c>
    </row>
    <row r="2401" spans="1:7" ht="22.5" x14ac:dyDescent="0.25">
      <c r="A2401" s="13">
        <v>14759</v>
      </c>
      <c r="B2401" s="14">
        <v>43453.588923611111</v>
      </c>
      <c r="C2401" s="13" t="s">
        <v>10</v>
      </c>
      <c r="D2401" s="13" t="str">
        <f t="shared" si="179"/>
        <v>MATERIALE PROTESICO</v>
      </c>
      <c r="E2401" s="13" t="str">
        <f t="shared" si="180"/>
        <v>ZIMMER BIOMET ITALIA SRL</v>
      </c>
      <c r="F2401" s="13" t="s">
        <v>14</v>
      </c>
      <c r="G2401" s="15">
        <v>2662.37</v>
      </c>
    </row>
    <row r="2402" spans="1:7" ht="22.5" x14ac:dyDescent="0.25">
      <c r="A2402" s="13">
        <v>14760</v>
      </c>
      <c r="B2402" s="14">
        <v>43453.589375000003</v>
      </c>
      <c r="C2402" s="13" t="s">
        <v>10</v>
      </c>
      <c r="D2402" s="13" t="str">
        <f t="shared" si="179"/>
        <v>MATERIALE PROTESICO</v>
      </c>
      <c r="E2402" s="13" t="str">
        <f t="shared" si="180"/>
        <v>ZIMMER BIOMET ITALIA SRL</v>
      </c>
      <c r="F2402" s="13" t="s">
        <v>14</v>
      </c>
      <c r="G2402" s="15">
        <v>2587.41</v>
      </c>
    </row>
    <row r="2403" spans="1:7" ht="22.5" x14ac:dyDescent="0.25">
      <c r="A2403" s="13">
        <v>14761</v>
      </c>
      <c r="B2403" s="14">
        <v>43453.589375000003</v>
      </c>
      <c r="C2403" s="13" t="s">
        <v>10</v>
      </c>
      <c r="D2403" s="13" t="str">
        <f t="shared" si="179"/>
        <v>MATERIALE PROTESICO</v>
      </c>
      <c r="E2403" s="13" t="str">
        <f t="shared" si="180"/>
        <v>ZIMMER BIOMET ITALIA SRL</v>
      </c>
      <c r="F2403" s="13" t="s">
        <v>14</v>
      </c>
      <c r="G2403" s="15">
        <v>3392.96</v>
      </c>
    </row>
    <row r="2404" spans="1:7" ht="22.5" x14ac:dyDescent="0.25">
      <c r="A2404" s="13">
        <v>14762</v>
      </c>
      <c r="B2404" s="14">
        <v>43453.589490740742</v>
      </c>
      <c r="C2404" s="13" t="s">
        <v>10</v>
      </c>
      <c r="D2404" s="13" t="str">
        <f t="shared" si="179"/>
        <v>MATERIALE PROTESICO</v>
      </c>
      <c r="E2404" s="13" t="str">
        <f t="shared" si="180"/>
        <v>ZIMMER BIOMET ITALIA SRL</v>
      </c>
      <c r="F2404" s="13" t="s">
        <v>14</v>
      </c>
      <c r="G2404" s="15">
        <v>1500</v>
      </c>
    </row>
    <row r="2405" spans="1:7" ht="22.5" x14ac:dyDescent="0.25">
      <c r="A2405" s="13">
        <v>14763</v>
      </c>
      <c r="B2405" s="14">
        <v>43453.589629629627</v>
      </c>
      <c r="C2405" s="13" t="s">
        <v>10</v>
      </c>
      <c r="D2405" s="13" t="str">
        <f t="shared" si="179"/>
        <v>MATERIALE PROTESICO</v>
      </c>
      <c r="E2405" s="13" t="str">
        <f t="shared" si="180"/>
        <v>ZIMMER BIOMET ITALIA SRL</v>
      </c>
      <c r="F2405" s="13" t="s">
        <v>14</v>
      </c>
      <c r="G2405" s="15">
        <v>956.24</v>
      </c>
    </row>
    <row r="2406" spans="1:7" ht="22.5" x14ac:dyDescent="0.25">
      <c r="A2406" s="13">
        <v>14764</v>
      </c>
      <c r="B2406" s="14">
        <v>43453.589745370373</v>
      </c>
      <c r="C2406" s="13" t="s">
        <v>10</v>
      </c>
      <c r="D2406" s="13" t="str">
        <f t="shared" si="179"/>
        <v>MATERIALE PROTESICO</v>
      </c>
      <c r="E2406" s="13" t="str">
        <f t="shared" si="180"/>
        <v>ZIMMER BIOMET ITALIA SRL</v>
      </c>
      <c r="F2406" s="13" t="s">
        <v>14</v>
      </c>
      <c r="G2406" s="15">
        <v>460.6</v>
      </c>
    </row>
    <row r="2407" spans="1:7" ht="22.5" x14ac:dyDescent="0.25">
      <c r="A2407" s="13">
        <v>14765</v>
      </c>
      <c r="B2407" s="14">
        <v>43453.589872685188</v>
      </c>
      <c r="C2407" s="13" t="s">
        <v>10</v>
      </c>
      <c r="D2407" s="13" t="str">
        <f t="shared" si="179"/>
        <v>MATERIALE PROTESICO</v>
      </c>
      <c r="E2407" s="13" t="str">
        <f t="shared" si="180"/>
        <v>ZIMMER BIOMET ITALIA SRL</v>
      </c>
      <c r="F2407" s="13" t="s">
        <v>14</v>
      </c>
      <c r="G2407" s="15">
        <v>509.6</v>
      </c>
    </row>
    <row r="2408" spans="1:7" ht="33.75" x14ac:dyDescent="0.25">
      <c r="A2408" s="13">
        <v>14766</v>
      </c>
      <c r="B2408" s="14">
        <v>43453.589988425927</v>
      </c>
      <c r="C2408" s="13" t="s">
        <v>10</v>
      </c>
      <c r="D2408" s="13" t="str">
        <f>"DISINFETTANTI, PRODOTTI PER STERILIZZAZIONE E DISPOSITIVI VARI V"</f>
        <v>DISINFETTANTI, PRODOTTI PER STERILIZZAZIONE E DISPOSITIVI VARI V</v>
      </c>
      <c r="E2408" s="13" t="str">
        <f t="shared" si="180"/>
        <v>ZIMMER BIOMET ITALIA SRL</v>
      </c>
      <c r="F2408" s="13" t="s">
        <v>14</v>
      </c>
      <c r="G2408" s="15">
        <v>108</v>
      </c>
    </row>
    <row r="2409" spans="1:7" ht="22.5" x14ac:dyDescent="0.25">
      <c r="A2409" s="13">
        <v>14767</v>
      </c>
      <c r="B2409" s="14">
        <v>43453.590115740742</v>
      </c>
      <c r="C2409" s="13" t="s">
        <v>10</v>
      </c>
      <c r="D2409" s="13" t="str">
        <f t="shared" ref="D2409:D2429" si="181">"MATERIALE PROTESICO"</f>
        <v>MATERIALE PROTESICO</v>
      </c>
      <c r="E2409" s="13" t="str">
        <f t="shared" si="180"/>
        <v>ZIMMER BIOMET ITALIA SRL</v>
      </c>
      <c r="F2409" s="13" t="s">
        <v>14</v>
      </c>
      <c r="G2409" s="15">
        <v>460.6</v>
      </c>
    </row>
    <row r="2410" spans="1:7" ht="22.5" x14ac:dyDescent="0.25">
      <c r="A2410" s="13">
        <v>14768</v>
      </c>
      <c r="B2410" s="14">
        <v>43453.590300925927</v>
      </c>
      <c r="C2410" s="13" t="s">
        <v>10</v>
      </c>
      <c r="D2410" s="13" t="str">
        <f t="shared" si="181"/>
        <v>MATERIALE PROTESICO</v>
      </c>
      <c r="E2410" s="13" t="str">
        <f t="shared" si="180"/>
        <v>ZIMMER BIOMET ITALIA SRL</v>
      </c>
      <c r="F2410" s="13" t="s">
        <v>14</v>
      </c>
      <c r="G2410" s="15">
        <v>150</v>
      </c>
    </row>
    <row r="2411" spans="1:7" ht="22.5" x14ac:dyDescent="0.25">
      <c r="A2411" s="13">
        <v>14769</v>
      </c>
      <c r="B2411" s="14">
        <v>43453.590300925927</v>
      </c>
      <c r="C2411" s="13" t="s">
        <v>10</v>
      </c>
      <c r="D2411" s="13" t="str">
        <f t="shared" si="181"/>
        <v>MATERIALE PROTESICO</v>
      </c>
      <c r="E2411" s="13" t="str">
        <f t="shared" si="180"/>
        <v>ZIMMER BIOMET ITALIA SRL</v>
      </c>
      <c r="F2411" s="13" t="s">
        <v>14</v>
      </c>
      <c r="G2411" s="15">
        <v>1050</v>
      </c>
    </row>
    <row r="2412" spans="1:7" ht="22.5" x14ac:dyDescent="0.25">
      <c r="A2412" s="13">
        <v>14770</v>
      </c>
      <c r="B2412" s="14">
        <v>43453.590520833335</v>
      </c>
      <c r="C2412" s="13" t="s">
        <v>10</v>
      </c>
      <c r="D2412" s="13" t="str">
        <f t="shared" si="181"/>
        <v>MATERIALE PROTESICO</v>
      </c>
      <c r="E2412" s="13" t="str">
        <f t="shared" si="180"/>
        <v>ZIMMER BIOMET ITALIA SRL</v>
      </c>
      <c r="F2412" s="13" t="s">
        <v>14</v>
      </c>
      <c r="G2412" s="15">
        <v>509.6</v>
      </c>
    </row>
    <row r="2413" spans="1:7" ht="22.5" x14ac:dyDescent="0.25">
      <c r="A2413" s="13">
        <v>14771</v>
      </c>
      <c r="B2413" s="14">
        <v>43453.590648148151</v>
      </c>
      <c r="C2413" s="13" t="s">
        <v>10</v>
      </c>
      <c r="D2413" s="13" t="str">
        <f t="shared" si="181"/>
        <v>MATERIALE PROTESICO</v>
      </c>
      <c r="E2413" s="13" t="str">
        <f t="shared" si="180"/>
        <v>ZIMMER BIOMET ITALIA SRL</v>
      </c>
      <c r="F2413" s="13" t="s">
        <v>14</v>
      </c>
      <c r="G2413" s="15">
        <v>1415.93</v>
      </c>
    </row>
    <row r="2414" spans="1:7" ht="22.5" x14ac:dyDescent="0.25">
      <c r="A2414" s="13">
        <v>14772</v>
      </c>
      <c r="B2414" s="14">
        <v>43453.590775462966</v>
      </c>
      <c r="C2414" s="13" t="s">
        <v>10</v>
      </c>
      <c r="D2414" s="13" t="str">
        <f t="shared" si="181"/>
        <v>MATERIALE PROTESICO</v>
      </c>
      <c r="E2414" s="13" t="str">
        <f t="shared" si="180"/>
        <v>ZIMMER BIOMET ITALIA SRL</v>
      </c>
      <c r="F2414" s="13" t="s">
        <v>14</v>
      </c>
      <c r="G2414" s="15">
        <v>1500</v>
      </c>
    </row>
    <row r="2415" spans="1:7" ht="22.5" x14ac:dyDescent="0.25">
      <c r="A2415" s="13">
        <v>14773</v>
      </c>
      <c r="B2415" s="14">
        <v>43453.590775462966</v>
      </c>
      <c r="C2415" s="13" t="s">
        <v>10</v>
      </c>
      <c r="D2415" s="13" t="str">
        <f t="shared" si="181"/>
        <v>MATERIALE PROTESICO</v>
      </c>
      <c r="E2415" s="13" t="str">
        <f t="shared" si="180"/>
        <v>ZIMMER BIOMET ITALIA SRL</v>
      </c>
      <c r="F2415" s="13" t="s">
        <v>14</v>
      </c>
      <c r="G2415" s="15">
        <v>1500</v>
      </c>
    </row>
    <row r="2416" spans="1:7" ht="22.5" x14ac:dyDescent="0.25">
      <c r="A2416" s="13">
        <v>14774</v>
      </c>
      <c r="B2416" s="14">
        <v>43453.590902777774</v>
      </c>
      <c r="C2416" s="13" t="s">
        <v>10</v>
      </c>
      <c r="D2416" s="13" t="str">
        <f t="shared" si="181"/>
        <v>MATERIALE PROTESICO</v>
      </c>
      <c r="E2416" s="13" t="str">
        <f t="shared" si="180"/>
        <v>ZIMMER BIOMET ITALIA SRL</v>
      </c>
      <c r="F2416" s="13" t="s">
        <v>14</v>
      </c>
      <c r="G2416" s="15">
        <v>85.71</v>
      </c>
    </row>
    <row r="2417" spans="1:7" ht="22.5" x14ac:dyDescent="0.25">
      <c r="A2417" s="13">
        <v>14775</v>
      </c>
      <c r="B2417" s="14">
        <v>43453.59101851852</v>
      </c>
      <c r="C2417" s="13" t="s">
        <v>10</v>
      </c>
      <c r="D2417" s="13" t="str">
        <f t="shared" si="181"/>
        <v>MATERIALE PROTESICO</v>
      </c>
      <c r="E2417" s="13" t="str">
        <f t="shared" si="180"/>
        <v>ZIMMER BIOMET ITALIA SRL</v>
      </c>
      <c r="F2417" s="13" t="s">
        <v>14</v>
      </c>
      <c r="G2417" s="15">
        <v>1000</v>
      </c>
    </row>
    <row r="2418" spans="1:7" ht="22.5" x14ac:dyDescent="0.25">
      <c r="A2418" s="13">
        <v>14776</v>
      </c>
      <c r="B2418" s="14">
        <v>43453.591134259259</v>
      </c>
      <c r="C2418" s="13" t="s">
        <v>10</v>
      </c>
      <c r="D2418" s="13" t="str">
        <f t="shared" si="181"/>
        <v>MATERIALE PROTESICO</v>
      </c>
      <c r="E2418" s="13" t="str">
        <f t="shared" si="180"/>
        <v>ZIMMER BIOMET ITALIA SRL</v>
      </c>
      <c r="F2418" s="13" t="s">
        <v>14</v>
      </c>
      <c r="G2418" s="15">
        <v>494.9</v>
      </c>
    </row>
    <row r="2419" spans="1:7" ht="22.5" x14ac:dyDescent="0.25">
      <c r="A2419" s="13">
        <v>14777</v>
      </c>
      <c r="B2419" s="14">
        <v>43453.591249999998</v>
      </c>
      <c r="C2419" s="13" t="s">
        <v>10</v>
      </c>
      <c r="D2419" s="13" t="str">
        <f t="shared" si="181"/>
        <v>MATERIALE PROTESICO</v>
      </c>
      <c r="E2419" s="13" t="str">
        <f t="shared" si="180"/>
        <v>ZIMMER BIOMET ITALIA SRL</v>
      </c>
      <c r="F2419" s="13" t="s">
        <v>14</v>
      </c>
      <c r="G2419" s="15">
        <v>1364</v>
      </c>
    </row>
    <row r="2420" spans="1:7" ht="22.5" x14ac:dyDescent="0.25">
      <c r="A2420" s="13">
        <v>14778</v>
      </c>
      <c r="B2420" s="14">
        <v>43453.59138888889</v>
      </c>
      <c r="C2420" s="13" t="s">
        <v>10</v>
      </c>
      <c r="D2420" s="13" t="str">
        <f t="shared" si="181"/>
        <v>MATERIALE PROTESICO</v>
      </c>
      <c r="E2420" s="13" t="str">
        <f t="shared" si="180"/>
        <v>ZIMMER BIOMET ITALIA SRL</v>
      </c>
      <c r="F2420" s="13" t="s">
        <v>14</v>
      </c>
      <c r="G2420" s="15">
        <v>300.02</v>
      </c>
    </row>
    <row r="2421" spans="1:7" ht="22.5" x14ac:dyDescent="0.25">
      <c r="A2421" s="13">
        <v>14779</v>
      </c>
      <c r="B2421" s="14">
        <v>43453.591504629629</v>
      </c>
      <c r="C2421" s="13" t="s">
        <v>10</v>
      </c>
      <c r="D2421" s="13" t="str">
        <f t="shared" si="181"/>
        <v>MATERIALE PROTESICO</v>
      </c>
      <c r="E2421" s="13" t="str">
        <f t="shared" si="180"/>
        <v>ZIMMER BIOMET ITALIA SRL</v>
      </c>
      <c r="F2421" s="13" t="s">
        <v>14</v>
      </c>
      <c r="G2421" s="15">
        <v>999.92</v>
      </c>
    </row>
    <row r="2422" spans="1:7" ht="22.5" x14ac:dyDescent="0.25">
      <c r="A2422" s="13">
        <v>14780</v>
      </c>
      <c r="B2422" s="14">
        <v>43453.591620370367</v>
      </c>
      <c r="C2422" s="13" t="s">
        <v>10</v>
      </c>
      <c r="D2422" s="13" t="str">
        <f t="shared" si="181"/>
        <v>MATERIALE PROTESICO</v>
      </c>
      <c r="E2422" s="13" t="str">
        <f t="shared" si="180"/>
        <v>ZIMMER BIOMET ITALIA SRL</v>
      </c>
      <c r="F2422" s="13" t="s">
        <v>14</v>
      </c>
      <c r="G2422" s="15">
        <v>1191.92</v>
      </c>
    </row>
    <row r="2423" spans="1:7" ht="22.5" x14ac:dyDescent="0.25">
      <c r="A2423" s="13">
        <v>14781</v>
      </c>
      <c r="B2423" s="14">
        <v>43453.591747685183</v>
      </c>
      <c r="C2423" s="13" t="s">
        <v>10</v>
      </c>
      <c r="D2423" s="13" t="str">
        <f t="shared" si="181"/>
        <v>MATERIALE PROTESICO</v>
      </c>
      <c r="E2423" s="13" t="str">
        <f t="shared" si="180"/>
        <v>ZIMMER BIOMET ITALIA SRL</v>
      </c>
      <c r="F2423" s="13" t="s">
        <v>14</v>
      </c>
      <c r="G2423" s="15">
        <v>388.78</v>
      </c>
    </row>
    <row r="2424" spans="1:7" ht="22.5" x14ac:dyDescent="0.25">
      <c r="A2424" s="13">
        <v>14782</v>
      </c>
      <c r="B2424" s="14">
        <v>43453.591909722221</v>
      </c>
      <c r="C2424" s="13" t="s">
        <v>10</v>
      </c>
      <c r="D2424" s="13" t="str">
        <f t="shared" si="181"/>
        <v>MATERIALE PROTESICO</v>
      </c>
      <c r="E2424" s="13" t="str">
        <f t="shared" si="180"/>
        <v>ZIMMER BIOMET ITALIA SRL</v>
      </c>
      <c r="F2424" s="13" t="s">
        <v>14</v>
      </c>
      <c r="G2424" s="15">
        <v>1191.92</v>
      </c>
    </row>
    <row r="2425" spans="1:7" ht="22.5" x14ac:dyDescent="0.25">
      <c r="A2425" s="13">
        <v>14783</v>
      </c>
      <c r="B2425" s="14">
        <v>43453.59202546296</v>
      </c>
      <c r="C2425" s="13" t="s">
        <v>10</v>
      </c>
      <c r="D2425" s="13" t="str">
        <f t="shared" si="181"/>
        <v>MATERIALE PROTESICO</v>
      </c>
      <c r="E2425" s="13" t="str">
        <f t="shared" si="180"/>
        <v>ZIMMER BIOMET ITALIA SRL</v>
      </c>
      <c r="F2425" s="13" t="s">
        <v>14</v>
      </c>
      <c r="G2425" s="15">
        <v>1971</v>
      </c>
    </row>
    <row r="2426" spans="1:7" ht="22.5" x14ac:dyDescent="0.25">
      <c r="A2426" s="13">
        <v>14784</v>
      </c>
      <c r="B2426" s="14">
        <v>43453.592164351852</v>
      </c>
      <c r="C2426" s="13" t="s">
        <v>10</v>
      </c>
      <c r="D2426" s="13" t="str">
        <f t="shared" si="181"/>
        <v>MATERIALE PROTESICO</v>
      </c>
      <c r="E2426" s="13" t="str">
        <f t="shared" si="180"/>
        <v>ZIMMER BIOMET ITALIA SRL</v>
      </c>
      <c r="F2426" s="13" t="s">
        <v>14</v>
      </c>
      <c r="G2426" s="15">
        <v>388.78</v>
      </c>
    </row>
    <row r="2427" spans="1:7" ht="22.5" x14ac:dyDescent="0.25">
      <c r="A2427" s="13">
        <v>14785</v>
      </c>
      <c r="B2427" s="14">
        <v>43453.592280092591</v>
      </c>
      <c r="C2427" s="13" t="s">
        <v>10</v>
      </c>
      <c r="D2427" s="13" t="str">
        <f t="shared" si="181"/>
        <v>MATERIALE PROTESICO</v>
      </c>
      <c r="E2427" s="13" t="str">
        <f t="shared" si="180"/>
        <v>ZIMMER BIOMET ITALIA SRL</v>
      </c>
      <c r="F2427" s="13" t="s">
        <v>14</v>
      </c>
      <c r="G2427" s="15">
        <v>460.6</v>
      </c>
    </row>
    <row r="2428" spans="1:7" ht="22.5" x14ac:dyDescent="0.25">
      <c r="A2428" s="13">
        <v>14786</v>
      </c>
      <c r="B2428" s="14">
        <v>43453.592395833337</v>
      </c>
      <c r="C2428" s="13" t="s">
        <v>10</v>
      </c>
      <c r="D2428" s="13" t="str">
        <f t="shared" si="181"/>
        <v>MATERIALE PROTESICO</v>
      </c>
      <c r="E2428" s="13" t="str">
        <f t="shared" si="180"/>
        <v>ZIMMER BIOMET ITALIA SRL</v>
      </c>
      <c r="F2428" s="13" t="s">
        <v>14</v>
      </c>
      <c r="G2428" s="15">
        <v>999.92</v>
      </c>
    </row>
    <row r="2429" spans="1:7" ht="22.5" x14ac:dyDescent="0.25">
      <c r="A2429" s="13">
        <v>14787</v>
      </c>
      <c r="B2429" s="14">
        <v>43453.592534722222</v>
      </c>
      <c r="C2429" s="13" t="s">
        <v>10</v>
      </c>
      <c r="D2429" s="13" t="str">
        <f t="shared" si="181"/>
        <v>MATERIALE PROTESICO</v>
      </c>
      <c r="E2429" s="13" t="str">
        <f t="shared" si="180"/>
        <v>ZIMMER BIOMET ITALIA SRL</v>
      </c>
      <c r="F2429" s="13" t="s">
        <v>14</v>
      </c>
      <c r="G2429" s="15">
        <v>960.4</v>
      </c>
    </row>
    <row r="2430" spans="1:7" ht="33.75" x14ac:dyDescent="0.25">
      <c r="A2430" s="13">
        <v>14788</v>
      </c>
      <c r="B2430" s="14">
        <v>43453.592673611114</v>
      </c>
      <c r="C2430" s="13" t="s">
        <v>10</v>
      </c>
      <c r="D2430" s="13" t="str">
        <f>"PRESIDI MEDICO-CHIRURGICI GENERICI E AUSILI TECNICI PER DISABILI T"</f>
        <v>PRESIDI MEDICO-CHIRURGICI GENERICI E AUSILI TECNICI PER DISABILI T</v>
      </c>
      <c r="E2430" s="13" t="str">
        <f>"KERNA ITALIA SRL"</f>
        <v>KERNA ITALIA SRL</v>
      </c>
      <c r="F2430" s="13" t="s">
        <v>14</v>
      </c>
      <c r="G2430" s="15">
        <v>6710</v>
      </c>
    </row>
    <row r="2431" spans="1:7" ht="22.5" x14ac:dyDescent="0.25">
      <c r="A2431" s="13">
        <v>14789</v>
      </c>
      <c r="B2431" s="14">
        <v>43453.592800925922</v>
      </c>
      <c r="C2431" s="13" t="s">
        <v>10</v>
      </c>
      <c r="D2431" s="13" t="str">
        <f>"PRODOTTI FARMACEUTICI CON AIC"</f>
        <v>PRODOTTI FARMACEUTICI CON AIC</v>
      </c>
      <c r="E2431" s="13" t="str">
        <f>"MSD ITALIA SRL"</f>
        <v>MSD ITALIA SRL</v>
      </c>
      <c r="F2431" s="13" t="s">
        <v>14</v>
      </c>
      <c r="G2431" s="15">
        <v>35082.54</v>
      </c>
    </row>
    <row r="2432" spans="1:7" ht="22.5" x14ac:dyDescent="0.25">
      <c r="A2432" s="13">
        <v>14790</v>
      </c>
      <c r="B2432" s="14">
        <v>43453.593055555553</v>
      </c>
      <c r="C2432" s="13" t="s">
        <v>10</v>
      </c>
      <c r="D2432" s="13" t="str">
        <f>"FARMACI FILE F"</f>
        <v>FARMACI FILE F</v>
      </c>
      <c r="E2432" s="13" t="str">
        <f>"MUNDIPHARMA PHARMACEUTICALS SRL"</f>
        <v>MUNDIPHARMA PHARMACEUTICALS SRL</v>
      </c>
      <c r="F2432" s="13" t="s">
        <v>14</v>
      </c>
      <c r="G2432" s="15">
        <v>6318</v>
      </c>
    </row>
    <row r="2433" spans="1:7" ht="22.5" x14ac:dyDescent="0.25">
      <c r="A2433" s="13">
        <v>14791</v>
      </c>
      <c r="B2433" s="14">
        <v>43453.593055555553</v>
      </c>
      <c r="C2433" s="13" t="s">
        <v>10</v>
      </c>
      <c r="D2433" s="13" t="str">
        <f>"FARMACI FILE F"</f>
        <v>FARMACI FILE F</v>
      </c>
      <c r="E2433" s="13" t="str">
        <f>"MUNDIPHARMA PHARMACEUTICALS SRL"</f>
        <v>MUNDIPHARMA PHARMACEUTICALS SRL</v>
      </c>
      <c r="F2433" s="13" t="s">
        <v>14</v>
      </c>
      <c r="G2433" s="15">
        <v>21762</v>
      </c>
    </row>
    <row r="2434" spans="1:7" ht="22.5" x14ac:dyDescent="0.25">
      <c r="A2434" s="13">
        <v>14792</v>
      </c>
      <c r="B2434" s="14">
        <v>43453.593171296299</v>
      </c>
      <c r="C2434" s="13" t="s">
        <v>10</v>
      </c>
      <c r="D2434" s="13" t="str">
        <f>"FARMACI FILE F"</f>
        <v>FARMACI FILE F</v>
      </c>
      <c r="E2434" s="13" t="str">
        <f>"MUNDIPHARMA PHARMACEUTICALS SRL"</f>
        <v>MUNDIPHARMA PHARMACEUTICALS SRL</v>
      </c>
      <c r="F2434" s="13" t="s">
        <v>14</v>
      </c>
      <c r="G2434" s="15">
        <v>1663.2</v>
      </c>
    </row>
    <row r="2435" spans="1:7" ht="22.5" x14ac:dyDescent="0.25">
      <c r="A2435" s="13">
        <v>14793</v>
      </c>
      <c r="B2435" s="14">
        <v>43453.593171296299</v>
      </c>
      <c r="C2435" s="13" t="s">
        <v>10</v>
      </c>
      <c r="D2435" s="13" t="str">
        <f>"FARMACI FILE F"</f>
        <v>FARMACI FILE F</v>
      </c>
      <c r="E2435" s="13" t="str">
        <f>"MUNDIPHARMA PHARMACEUTICALS SRL"</f>
        <v>MUNDIPHARMA PHARMACEUTICALS SRL</v>
      </c>
      <c r="F2435" s="13" t="s">
        <v>14</v>
      </c>
      <c r="G2435" s="15">
        <v>3326.4</v>
      </c>
    </row>
    <row r="2436" spans="1:7" ht="22.5" x14ac:dyDescent="0.25">
      <c r="A2436" s="13">
        <v>14794</v>
      </c>
      <c r="B2436" s="14">
        <v>43453.593645833331</v>
      </c>
      <c r="C2436" s="13" t="s">
        <v>10</v>
      </c>
      <c r="D2436" s="13" t="str">
        <f>"PRODOTTI FARMACEUTICI CON AIC"</f>
        <v>PRODOTTI FARMACEUTICI CON AIC</v>
      </c>
      <c r="E2436" s="13" t="str">
        <f>"MUNDIPHARMA PHARMACEUTICALS SRL"</f>
        <v>MUNDIPHARMA PHARMACEUTICALS SRL</v>
      </c>
      <c r="F2436" s="13" t="s">
        <v>14</v>
      </c>
      <c r="G2436" s="15">
        <v>464.15</v>
      </c>
    </row>
    <row r="2437" spans="1:7" ht="22.5" x14ac:dyDescent="0.25">
      <c r="A2437" s="13">
        <v>14795</v>
      </c>
      <c r="B2437" s="14">
        <v>43453.593773148146</v>
      </c>
      <c r="C2437" s="13" t="s">
        <v>10</v>
      </c>
      <c r="D2437" s="13" t="str">
        <f>"FARMACI FILE F"</f>
        <v>FARMACI FILE F</v>
      </c>
      <c r="E2437" s="13" t="str">
        <f>"NOVARTIS FARMA SPA con Socio Unico"</f>
        <v>NOVARTIS FARMA SPA con Socio Unico</v>
      </c>
      <c r="F2437" s="13" t="s">
        <v>14</v>
      </c>
      <c r="G2437" s="15">
        <v>26020.5</v>
      </c>
    </row>
    <row r="2438" spans="1:7" ht="22.5" x14ac:dyDescent="0.25">
      <c r="A2438" s="13">
        <v>14796</v>
      </c>
      <c r="B2438" s="14">
        <v>43453.594282407408</v>
      </c>
      <c r="C2438" s="13" t="s">
        <v>10</v>
      </c>
      <c r="D2438" s="13" t="str">
        <f>"FARMACI FILE F"</f>
        <v>FARMACI FILE F</v>
      </c>
      <c r="E2438" s="13" t="str">
        <f>"NOVARTIS FARMA SPA con Socio Unico"</f>
        <v>NOVARTIS FARMA SPA con Socio Unico</v>
      </c>
      <c r="F2438" s="13" t="s">
        <v>14</v>
      </c>
      <c r="G2438" s="15">
        <v>12072.76</v>
      </c>
    </row>
    <row r="2439" spans="1:7" ht="22.5" x14ac:dyDescent="0.25">
      <c r="A2439" s="13">
        <v>14797</v>
      </c>
      <c r="B2439" s="14">
        <v>43453.594282407408</v>
      </c>
      <c r="C2439" s="13" t="s">
        <v>10</v>
      </c>
      <c r="D2439" s="13" t="str">
        <f>"FARMACI FILE F"</f>
        <v>FARMACI FILE F</v>
      </c>
      <c r="E2439" s="13" t="str">
        <f>"NOVARTIS FARMA SPA con Socio Unico"</f>
        <v>NOVARTIS FARMA SPA con Socio Unico</v>
      </c>
      <c r="F2439" s="13" t="s">
        <v>14</v>
      </c>
      <c r="G2439" s="15">
        <v>14659.78</v>
      </c>
    </row>
    <row r="2440" spans="1:7" ht="22.5" x14ac:dyDescent="0.25">
      <c r="A2440" s="13">
        <v>14798</v>
      </c>
      <c r="B2440" s="14">
        <v>43454.417893518519</v>
      </c>
      <c r="C2440" s="13" t="s">
        <v>11</v>
      </c>
      <c r="D2440" s="13" t="str">
        <f>"SPESE LITI E ARBITRAGGI"</f>
        <v>SPESE LITI E ARBITRAGGI</v>
      </c>
      <c r="E2440" s="13" t="str">
        <f>"EMMEGIESSE SRL"</f>
        <v>EMMEGIESSE SRL</v>
      </c>
      <c r="F2440" s="13" t="s">
        <v>14</v>
      </c>
      <c r="G2440" s="15">
        <v>320</v>
      </c>
    </row>
    <row r="2441" spans="1:7" ht="22.5" x14ac:dyDescent="0.25">
      <c r="A2441" s="13">
        <v>14799</v>
      </c>
      <c r="B2441" s="14">
        <v>43454.417905092596</v>
      </c>
      <c r="C2441" s="13" t="s">
        <v>10</v>
      </c>
      <c r="D2441" s="13" t="str">
        <f>"CONSULENZE SANITARIE DA PRIVATO"</f>
        <v>CONSULENZE SANITARIE DA PRIVATO</v>
      </c>
      <c r="E2441" s="13" t="str">
        <f>"SOARDI MARIA LUISA"</f>
        <v>SOARDI MARIA LUISA</v>
      </c>
      <c r="F2441" s="13" t="s">
        <v>14</v>
      </c>
      <c r="G2441" s="15">
        <v>1568.03</v>
      </c>
    </row>
    <row r="2442" spans="1:7" ht="22.5" x14ac:dyDescent="0.25">
      <c r="A2442" s="13">
        <v>14800</v>
      </c>
      <c r="B2442" s="14">
        <v>43454.417905092596</v>
      </c>
      <c r="C2442" s="13" t="s">
        <v>11</v>
      </c>
      <c r="D2442" s="13" t="str">
        <f>"FONDO RISCHI"</f>
        <v>FONDO RISCHI</v>
      </c>
      <c r="E2442" s="13" t="str">
        <f>"MORINI OSVALDO"</f>
        <v>MORINI OSVALDO</v>
      </c>
      <c r="F2442" s="13" t="s">
        <v>15</v>
      </c>
      <c r="G2442" s="15">
        <v>1020</v>
      </c>
    </row>
    <row r="2443" spans="1:7" ht="22.5" x14ac:dyDescent="0.25">
      <c r="A2443" s="13">
        <v>14801</v>
      </c>
      <c r="B2443" s="14">
        <v>43454.417905092596</v>
      </c>
      <c r="C2443" s="13" t="s">
        <v>11</v>
      </c>
      <c r="D2443" s="13" t="str">
        <f>"FONDO RISCHI"</f>
        <v>FONDO RISCHI</v>
      </c>
      <c r="E2443" s="13" t="str">
        <f>"MORINI OSVALDO"</f>
        <v>MORINI OSVALDO</v>
      </c>
      <c r="F2443" s="13" t="s">
        <v>15</v>
      </c>
      <c r="G2443" s="15">
        <v>918</v>
      </c>
    </row>
    <row r="2444" spans="1:7" ht="22.5" x14ac:dyDescent="0.25">
      <c r="A2444" s="13">
        <v>14802</v>
      </c>
      <c r="B2444" s="14">
        <v>43454.417905092596</v>
      </c>
      <c r="C2444" s="13" t="s">
        <v>11</v>
      </c>
      <c r="D2444" s="13" t="str">
        <f>"FONDO RISCHI"</f>
        <v>FONDO RISCHI</v>
      </c>
      <c r="E2444" s="13" t="str">
        <f>"MORINI OSVALDO"</f>
        <v>MORINI OSVALDO</v>
      </c>
      <c r="F2444" s="13" t="s">
        <v>15</v>
      </c>
      <c r="G2444" s="15">
        <v>612</v>
      </c>
    </row>
    <row r="2445" spans="1:7" ht="22.5" x14ac:dyDescent="0.25">
      <c r="A2445" s="13">
        <v>14803</v>
      </c>
      <c r="B2445" s="14">
        <v>43454.417905092596</v>
      </c>
      <c r="C2445" s="13" t="s">
        <v>13</v>
      </c>
      <c r="D2445" s="13" t="str">
        <f>"LICENZE D'USO SOFTWARE"</f>
        <v>LICENZE D'USO SOFTWARE</v>
      </c>
      <c r="E2445" s="13" t="str">
        <f>"TRUST ITALIA SPA"</f>
        <v>TRUST ITALIA SPA</v>
      </c>
      <c r="F2445" s="13" t="s">
        <v>15</v>
      </c>
      <c r="G2445" s="15">
        <v>455</v>
      </c>
    </row>
    <row r="2446" spans="1:7" ht="22.5" x14ac:dyDescent="0.25">
      <c r="A2446" s="13">
        <v>14804</v>
      </c>
      <c r="B2446" s="14">
        <v>43454.417905092596</v>
      </c>
      <c r="C2446" s="13" t="s">
        <v>10</v>
      </c>
      <c r="D2446" s="13" t="str">
        <f>"PRESTAZIONI LEGALI E NOTARILI"</f>
        <v>PRESTAZIONI LEGALI E NOTARILI</v>
      </c>
      <c r="E2446" s="13" t="str">
        <f>"TRIFIRO' &amp; PARTNERS - AVVOCATI"</f>
        <v>TRIFIRO' &amp; PARTNERS - AVVOCATI</v>
      </c>
      <c r="F2446" s="13" t="s">
        <v>15</v>
      </c>
      <c r="G2446" s="15">
        <v>2739.86</v>
      </c>
    </row>
    <row r="2447" spans="1:7" ht="22.5" x14ac:dyDescent="0.25">
      <c r="A2447" s="13">
        <v>14805</v>
      </c>
      <c r="B2447" s="14">
        <v>43454.417905092596</v>
      </c>
      <c r="C2447" s="13" t="s">
        <v>11</v>
      </c>
      <c r="D2447" s="13" t="str">
        <f>"SPESE LITI E ARBITRAGGI"</f>
        <v>SPESE LITI E ARBITRAGGI</v>
      </c>
      <c r="E2447" s="13" t="str">
        <f>"FONDAZIONE FORENSE DI MILANO"</f>
        <v>FONDAZIONE FORENSE DI MILANO</v>
      </c>
      <c r="F2447" s="13" t="s">
        <v>14</v>
      </c>
      <c r="G2447" s="15">
        <v>40</v>
      </c>
    </row>
    <row r="2448" spans="1:7" ht="22.5" x14ac:dyDescent="0.25">
      <c r="A2448" s="13">
        <v>14806</v>
      </c>
      <c r="B2448" s="14">
        <v>43454.417916666665</v>
      </c>
      <c r="C2448" s="13" t="s">
        <v>10</v>
      </c>
      <c r="D2448" s="13" t="str">
        <f>"ALTRI SERVIZI NON SANITARI DA ATS/ASST DELLA REGIONE"</f>
        <v>ALTRI SERVIZI NON SANITARI DA ATS/ASST DELLA REGIONE</v>
      </c>
      <c r="E2448" s="13" t="str">
        <f>"ATS DELLA CITTA' METROPOLITANA DI MILANO"</f>
        <v>ATS DELLA CITTA' METROPOLITANA DI MILANO</v>
      </c>
      <c r="F2448" s="13" t="s">
        <v>14</v>
      </c>
      <c r="G2448" s="15">
        <v>1357.1</v>
      </c>
    </row>
    <row r="2449" spans="1:7" ht="22.5" x14ac:dyDescent="0.25">
      <c r="A2449" s="13">
        <v>14807</v>
      </c>
      <c r="B2449" s="14">
        <v>43454.417916666665</v>
      </c>
      <c r="C2449" s="13" t="s">
        <v>10</v>
      </c>
      <c r="D2449" s="13" t="str">
        <f>"CONSULENZE SANITARIE DA PRIVATO"</f>
        <v>CONSULENZE SANITARIE DA PRIVATO</v>
      </c>
      <c r="E2449" s="13" t="str">
        <f>"TORGANO GIULIA"</f>
        <v>TORGANO GIULIA</v>
      </c>
      <c r="F2449" s="13" t="s">
        <v>14</v>
      </c>
      <c r="G2449" s="15">
        <v>1985</v>
      </c>
    </row>
    <row r="2450" spans="1:7" ht="22.5" x14ac:dyDescent="0.25">
      <c r="A2450" s="13">
        <v>14808</v>
      </c>
      <c r="B2450" s="14">
        <v>43454.417916666665</v>
      </c>
      <c r="C2450" s="13" t="s">
        <v>10</v>
      </c>
      <c r="D2450" s="13" t="str">
        <f>"CONSULENZE SANITARIE DA PRIVATO"</f>
        <v>CONSULENZE SANITARIE DA PRIVATO</v>
      </c>
      <c r="E2450" s="13" t="str">
        <f>"UGHI NICOLA"</f>
        <v>UGHI NICOLA</v>
      </c>
      <c r="F2450" s="13" t="s">
        <v>14</v>
      </c>
      <c r="G2450" s="15">
        <v>2002</v>
      </c>
    </row>
    <row r="2451" spans="1:7" ht="22.5" x14ac:dyDescent="0.25">
      <c r="A2451" s="13">
        <v>14809</v>
      </c>
      <c r="B2451" s="14">
        <v>43454.417916666665</v>
      </c>
      <c r="C2451" s="13" t="s">
        <v>10</v>
      </c>
      <c r="D2451" s="13" t="str">
        <f>"CASSA BANCA INTESA SPA PINI"</f>
        <v>CASSA BANCA INTESA SPA PINI</v>
      </c>
      <c r="E2451" s="13" t="str">
        <f>"FERRARI LILIANA"</f>
        <v>FERRARI LILIANA</v>
      </c>
      <c r="F2451" s="13" t="str">
        <f>"Restituzione doppio pagamento ticket"</f>
        <v>Restituzione doppio pagamento ticket</v>
      </c>
      <c r="G2451" s="15">
        <v>28.5</v>
      </c>
    </row>
    <row r="2452" spans="1:7" ht="22.5" x14ac:dyDescent="0.25">
      <c r="A2452" s="13">
        <v>14810</v>
      </c>
      <c r="B2452" s="14">
        <v>43454.417916666665</v>
      </c>
      <c r="C2452" s="13" t="s">
        <v>10</v>
      </c>
      <c r="D2452" s="13" t="str">
        <f>"CONSULENZE SANITARIE DA PRIVATO"</f>
        <v>CONSULENZE SANITARIE DA PRIVATO</v>
      </c>
      <c r="E2452" s="13" t="str">
        <f>"CASARI SILVIA GABRIELLA"</f>
        <v>CASARI SILVIA GABRIELLA</v>
      </c>
      <c r="F2452" s="13" t="str">
        <f>"CONS.CO.CO.,INTER.DA STUTT.SANIT.DA PRIV"</f>
        <v>CONS.CO.CO.,INTER.DA STUTT.SANIT.DA PRIV</v>
      </c>
      <c r="G2452" s="15">
        <v>2995.2</v>
      </c>
    </row>
    <row r="2453" spans="1:7" ht="22.5" x14ac:dyDescent="0.25">
      <c r="A2453" s="13">
        <v>14811</v>
      </c>
      <c r="B2453" s="14">
        <v>43454.417916666665</v>
      </c>
      <c r="C2453" s="13" t="s">
        <v>10</v>
      </c>
      <c r="D2453" s="13" t="str">
        <f>"DEPOSITI CAUZIONALI ARMADIETTO/BADGE"</f>
        <v>DEPOSITI CAUZIONALI ARMADIETTO/BADGE</v>
      </c>
      <c r="E2453" s="13" t="str">
        <f>"BURAGINA GIUSEPPE"</f>
        <v>BURAGINA GIUSEPPE</v>
      </c>
      <c r="F2453" s="13" t="str">
        <f>"Restituzione deposito cauzionale"</f>
        <v>Restituzione deposito cauzionale</v>
      </c>
      <c r="G2453" s="15">
        <v>90</v>
      </c>
    </row>
    <row r="2454" spans="1:7" ht="22.5" x14ac:dyDescent="0.25">
      <c r="A2454" s="13">
        <v>14812</v>
      </c>
      <c r="B2454" s="14">
        <v>43454.417916666665</v>
      </c>
      <c r="C2454" s="13" t="s">
        <v>10</v>
      </c>
      <c r="D2454" s="13" t="str">
        <f>"LAVORO INTERINALE AMMINISTRATIVO"</f>
        <v>LAVORO INTERINALE AMMINISTRATIVO</v>
      </c>
      <c r="E2454" s="13" t="str">
        <f>"TEMPOR SPA - Agenzia per il lavoro"</f>
        <v>TEMPOR SPA - Agenzia per il lavoro</v>
      </c>
      <c r="F2454" s="13" t="str">
        <f>"CONS.CO.CO.,INTER.NON SANIT.DA PRIVATI"</f>
        <v>CONS.CO.CO.,INTER.NON SANIT.DA PRIVATI</v>
      </c>
      <c r="G2454" s="15">
        <v>5197.3</v>
      </c>
    </row>
    <row r="2455" spans="1:7" ht="22.5" x14ac:dyDescent="0.25">
      <c r="A2455" s="13">
        <v>14813</v>
      </c>
      <c r="B2455" s="14">
        <v>43454.417916666665</v>
      </c>
      <c r="C2455" s="13" t="s">
        <v>10</v>
      </c>
      <c r="D2455" s="13" t="str">
        <f>"LAVORO INTERINALE TECNICO"</f>
        <v>LAVORO INTERINALE TECNICO</v>
      </c>
      <c r="E2455" s="13" t="str">
        <f>"TEMPOR SPA - Agenzia per il lavoro"</f>
        <v>TEMPOR SPA - Agenzia per il lavoro</v>
      </c>
      <c r="F2455" s="13" t="str">
        <f>"CONS.CO.CO.,INTER.NON SANIT.DA PRIVATI"</f>
        <v>CONS.CO.CO.,INTER.NON SANIT.DA PRIVATI</v>
      </c>
      <c r="G2455" s="15">
        <v>21132.68</v>
      </c>
    </row>
    <row r="2456" spans="1:7" ht="22.5" x14ac:dyDescent="0.25">
      <c r="A2456" s="13">
        <v>14814</v>
      </c>
      <c r="B2456" s="14">
        <v>43454.417928240742</v>
      </c>
      <c r="C2456" s="13" t="s">
        <v>10</v>
      </c>
      <c r="D2456" s="13" t="str">
        <f>"ALTRI SERVIZI"</f>
        <v>ALTRI SERVIZI</v>
      </c>
      <c r="E2456" s="13" t="str">
        <f>"FASTWEB SPA a Socio Unico"</f>
        <v>FASTWEB SPA a Socio Unico</v>
      </c>
      <c r="F2456" s="13" t="str">
        <f>"ALTRE SPESE PER SERV.NON SANITARI"</f>
        <v>ALTRE SPESE PER SERV.NON SANITARI</v>
      </c>
      <c r="G2456" s="15">
        <v>11016.66</v>
      </c>
    </row>
    <row r="2457" spans="1:7" ht="22.5" x14ac:dyDescent="0.25">
      <c r="A2457" s="13">
        <v>14815</v>
      </c>
      <c r="B2457" s="14">
        <v>43454.417928240742</v>
      </c>
      <c r="C2457" s="13" t="s">
        <v>10</v>
      </c>
      <c r="D2457" s="13" t="str">
        <f>"CASSA BANCA INTESA SPA PINI"</f>
        <v>CASSA BANCA INTESA SPA PINI</v>
      </c>
      <c r="E2457" s="13" t="str">
        <f>"CABRINI VINCENZO"</f>
        <v>CABRINI VINCENZO</v>
      </c>
      <c r="F2457" s="13" t="str">
        <f>"ALTRE SPESE PER SERV.NON SANITARI"</f>
        <v>ALTRE SPESE PER SERV.NON SANITARI</v>
      </c>
      <c r="G2457" s="15">
        <v>25</v>
      </c>
    </row>
    <row r="2458" spans="1:7" ht="22.5" x14ac:dyDescent="0.25">
      <c r="A2458" s="13">
        <v>14816</v>
      </c>
      <c r="B2458" s="14">
        <v>43454.417928240742</v>
      </c>
      <c r="C2458" s="13" t="s">
        <v>10</v>
      </c>
      <c r="D2458" s="13" t="str">
        <f>"CASSA BANCA INTESA SPA PINI"</f>
        <v>CASSA BANCA INTESA SPA PINI</v>
      </c>
      <c r="E2458" s="13" t="str">
        <f>"EMANCIPATO ELEUTERIO ANDREA"</f>
        <v>EMANCIPATO ELEUTERIO ANDREA</v>
      </c>
      <c r="F2458" s="13" t="str">
        <f>"Restituzione doppio Pagamento Ticket"</f>
        <v>Restituzione doppio Pagamento Ticket</v>
      </c>
      <c r="G2458" s="15">
        <v>29.81</v>
      </c>
    </row>
    <row r="2459" spans="1:7" ht="22.5" x14ac:dyDescent="0.25">
      <c r="A2459" s="13">
        <v>14817</v>
      </c>
      <c r="B2459" s="14">
        <v>43454.417928240742</v>
      </c>
      <c r="C2459" s="13" t="s">
        <v>10</v>
      </c>
      <c r="D2459" s="13" t="str">
        <f>"CASSA BANCA INTESA SPA PINI"</f>
        <v>CASSA BANCA INTESA SPA PINI</v>
      </c>
      <c r="E2459" s="13" t="str">
        <f>"GARGANO ANTONELLA"</f>
        <v>GARGANO ANTONELLA</v>
      </c>
      <c r="F2459" s="13" t="str">
        <f>"Restituzione Doppio Pag.to ticket"</f>
        <v>Restituzione Doppio Pag.to ticket</v>
      </c>
      <c r="G2459" s="15">
        <v>51</v>
      </c>
    </row>
    <row r="2460" spans="1:7" ht="22.5" x14ac:dyDescent="0.25">
      <c r="A2460" s="13">
        <v>14818</v>
      </c>
      <c r="B2460" s="14">
        <v>43454.417928240742</v>
      </c>
      <c r="C2460" s="13" t="s">
        <v>10</v>
      </c>
      <c r="D2460" s="13" t="str">
        <f>"DEPOSITI CAUZIONALI ARMADIETTO/BADGE"</f>
        <v>DEPOSITI CAUZIONALI ARMADIETTO/BADGE</v>
      </c>
      <c r="E2460" s="13" t="str">
        <f>"ALBISETTI ALESSANDRA ARIANNA"</f>
        <v>ALBISETTI ALESSANDRA ARIANNA</v>
      </c>
      <c r="F2460" s="13" t="str">
        <f>"Restituzione deposito cauzionale"</f>
        <v>Restituzione deposito cauzionale</v>
      </c>
      <c r="G2460" s="15">
        <v>70</v>
      </c>
    </row>
    <row r="2461" spans="1:7" ht="22.5" x14ac:dyDescent="0.25">
      <c r="A2461" s="13">
        <v>14819</v>
      </c>
      <c r="B2461" s="14">
        <v>43454.417928240742</v>
      </c>
      <c r="C2461" s="13" t="s">
        <v>10</v>
      </c>
      <c r="D2461" s="13" t="str">
        <f>"DEPOSITI CAUZIONALI ARMADIETTO/BADGE"</f>
        <v>DEPOSITI CAUZIONALI ARMADIETTO/BADGE</v>
      </c>
      <c r="E2461" s="13" t="str">
        <f>"D'AMATO RAFFAELE DARIO"</f>
        <v>D'AMATO RAFFAELE DARIO</v>
      </c>
      <c r="F2461" s="13" t="str">
        <f>"Restituzione deposito cauzionale"</f>
        <v>Restituzione deposito cauzionale</v>
      </c>
      <c r="G2461" s="15">
        <v>90</v>
      </c>
    </row>
    <row r="2462" spans="1:7" ht="22.5" x14ac:dyDescent="0.25">
      <c r="A2462" s="13">
        <v>14820</v>
      </c>
      <c r="B2462" s="14">
        <v>43454.417928240742</v>
      </c>
      <c r="C2462" s="13" t="s">
        <v>10</v>
      </c>
      <c r="D2462" s="13" t="str">
        <f>"DEPOSITI CAUZIONALI ARMADIETTO/BADGE"</f>
        <v>DEPOSITI CAUZIONALI ARMADIETTO/BADGE</v>
      </c>
      <c r="E2462" s="13" t="str">
        <f>"LONGO SIMONA"</f>
        <v>LONGO SIMONA</v>
      </c>
      <c r="F2462" s="13" t="str">
        <f>"Restituzione deposito cauzionale"</f>
        <v>Restituzione deposito cauzionale</v>
      </c>
      <c r="G2462" s="15">
        <v>150</v>
      </c>
    </row>
    <row r="2463" spans="1:7" ht="22.5" x14ac:dyDescent="0.25">
      <c r="A2463" s="13">
        <v>14821</v>
      </c>
      <c r="B2463" s="14">
        <v>43454.417928240742</v>
      </c>
      <c r="C2463" s="13" t="s">
        <v>10</v>
      </c>
      <c r="D2463" s="13" t="str">
        <f>"DEPOSITI CAUZIONALI CONVITTO"</f>
        <v>DEPOSITI CAUZIONALI CONVITTO</v>
      </c>
      <c r="E2463" s="13" t="str">
        <f>"CARBONE MARIAGRAZIA"</f>
        <v>CARBONE MARIAGRAZIA</v>
      </c>
      <c r="F2463" s="13" t="str">
        <f>"Restituzione deposito cauzionale"</f>
        <v>Restituzione deposito cauzionale</v>
      </c>
      <c r="G2463" s="15">
        <v>150</v>
      </c>
    </row>
    <row r="2464" spans="1:7" ht="22.5" x14ac:dyDescent="0.25">
      <c r="A2464" s="13">
        <v>14822</v>
      </c>
      <c r="B2464" s="14">
        <v>43454.417928240742</v>
      </c>
      <c r="C2464" s="13" t="s">
        <v>10</v>
      </c>
      <c r="D2464" s="13" t="str">
        <f>"DEPOSITI CAUZIONALI CONVITTO"</f>
        <v>DEPOSITI CAUZIONALI CONVITTO</v>
      </c>
      <c r="E2464" s="13" t="str">
        <f>"PRISCO FILOMENA"</f>
        <v>PRISCO FILOMENA</v>
      </c>
      <c r="F2464" s="13" t="str">
        <f>"Restituzione deposito cauzionale"</f>
        <v>Restituzione deposito cauzionale</v>
      </c>
      <c r="G2464" s="15">
        <v>150</v>
      </c>
    </row>
    <row r="2465" spans="1:7" ht="22.5" x14ac:dyDescent="0.25">
      <c r="A2465" s="13">
        <v>14823</v>
      </c>
      <c r="B2465" s="14">
        <v>43454.417928240742</v>
      </c>
      <c r="C2465" s="13" t="s">
        <v>10</v>
      </c>
      <c r="D2465" s="13" t="str">
        <f>"FT RIC FASTWEB SPA"</f>
        <v>FT RIC FASTWEB SPA</v>
      </c>
      <c r="E2465" s="13" t="str">
        <f>"FASTWEB SPA a Socio Unico"</f>
        <v>FASTWEB SPA a Socio Unico</v>
      </c>
      <c r="F2465" s="13" t="str">
        <f>"UTENZE E CANONI PER TELEFONIA E RETI"</f>
        <v>UTENZE E CANONI PER TELEFONIA E RETI</v>
      </c>
      <c r="G2465" s="15">
        <v>3891.55</v>
      </c>
    </row>
    <row r="2466" spans="1:7" ht="22.5" x14ac:dyDescent="0.25">
      <c r="A2466" s="13">
        <v>14824</v>
      </c>
      <c r="B2466" s="14">
        <v>43454.417939814812</v>
      </c>
      <c r="C2466" s="13" t="s">
        <v>10</v>
      </c>
      <c r="D2466" s="13" t="str">
        <f>"ALTRI SERVIZI"</f>
        <v>ALTRI SERVIZI</v>
      </c>
      <c r="E2466" s="13" t="str">
        <f>"FASTWEB SPA a Socio Unico"</f>
        <v>FASTWEB SPA a Socio Unico</v>
      </c>
      <c r="F2466" s="13" t="str">
        <f>"ALTRE SPESE PER SERV.NON SANITARI"</f>
        <v>ALTRE SPESE PER SERV.NON SANITARI</v>
      </c>
      <c r="G2466" s="15">
        <v>16318.8</v>
      </c>
    </row>
    <row r="2467" spans="1:7" ht="22.5" x14ac:dyDescent="0.25">
      <c r="A2467" s="13">
        <v>14825</v>
      </c>
      <c r="B2467" s="14">
        <v>43454.417939814812</v>
      </c>
      <c r="C2467" s="13" t="s">
        <v>10</v>
      </c>
      <c r="D2467" s="13" t="str">
        <f>"DEPOSITI CAUZIONALI ARMADIETTO/BADGE"</f>
        <v>DEPOSITI CAUZIONALI ARMADIETTO/BADGE</v>
      </c>
      <c r="E2467" s="13" t="str">
        <f>"SAPONARO GIORGIA"</f>
        <v>SAPONARO GIORGIA</v>
      </c>
      <c r="F2467" s="13" t="str">
        <f>"Restituzione deposito cauzionale"</f>
        <v>Restituzione deposito cauzionale</v>
      </c>
      <c r="G2467" s="15">
        <v>70</v>
      </c>
    </row>
    <row r="2468" spans="1:7" ht="33.75" x14ac:dyDescent="0.25">
      <c r="A2468" s="13">
        <v>14826</v>
      </c>
      <c r="B2468" s="14">
        <v>43454.420381944445</v>
      </c>
      <c r="C2468" s="13" t="s">
        <v>10</v>
      </c>
      <c r="D2468" s="13" t="str">
        <f>"DISINFETTANTI, PRODOTTI PER STERILIZZAZIONE E DISPOSITIVI VARI D"</f>
        <v>DISINFETTANTI, PRODOTTI PER STERILIZZAZIONE E DISPOSITIVI VARI D</v>
      </c>
      <c r="E2468" s="13" t="str">
        <f>"GIOCHEMICA SRL Unipersonale"</f>
        <v>GIOCHEMICA SRL Unipersonale</v>
      </c>
      <c r="F2468" s="13" t="s">
        <v>14</v>
      </c>
      <c r="G2468" s="15">
        <v>184.8</v>
      </c>
    </row>
    <row r="2469" spans="1:7" ht="22.5" x14ac:dyDescent="0.25">
      <c r="A2469" s="13">
        <v>14827</v>
      </c>
      <c r="B2469" s="14">
        <v>43454.420439814814</v>
      </c>
      <c r="C2469" s="13" t="s">
        <v>10</v>
      </c>
      <c r="D2469" s="13" t="str">
        <f>"ALTRI SERVIZI"</f>
        <v>ALTRI SERVIZI</v>
      </c>
      <c r="E2469" s="13" t="str">
        <f>"ASSOCIAZIONE VERONICA SACCHI"</f>
        <v>ASSOCIAZIONE VERONICA SACCHI</v>
      </c>
      <c r="F2469" s="13" t="str">
        <f>"ALTRE SPESE PER SERV.NON SANITARI"</f>
        <v>ALTRE SPESE PER SERV.NON SANITARI</v>
      </c>
      <c r="G2469" s="15">
        <v>3350</v>
      </c>
    </row>
    <row r="2470" spans="1:7" ht="22.5" x14ac:dyDescent="0.25">
      <c r="A2470" s="13">
        <v>14828</v>
      </c>
      <c r="B2470" s="14">
        <v>43454.420486111114</v>
      </c>
      <c r="C2470" s="13" t="s">
        <v>10</v>
      </c>
      <c r="D2470" s="13" t="str">
        <f>"ALTRI SERVIZI"</f>
        <v>ALTRI SERVIZI</v>
      </c>
      <c r="E2470" s="13" t="str">
        <f>"VIAGGI BROGGI di BROGGI PAOLO &amp; C. SAS"</f>
        <v>VIAGGI BROGGI di BROGGI PAOLO &amp; C. SAS</v>
      </c>
      <c r="F2470" s="13" t="str">
        <f>"ALTRE SPESE PER SERV.NON SANITARI"</f>
        <v>ALTRE SPESE PER SERV.NON SANITARI</v>
      </c>
      <c r="G2470" s="15">
        <v>1100</v>
      </c>
    </row>
    <row r="2471" spans="1:7" ht="22.5" x14ac:dyDescent="0.25">
      <c r="A2471" s="13">
        <v>14829</v>
      </c>
      <c r="B2471" s="14">
        <v>43454.517962962964</v>
      </c>
      <c r="C2471" s="13" t="s">
        <v>11</v>
      </c>
      <c r="D2471" s="13" t="str">
        <f>"FONDO RISCHI FALLIMENTO FARO"</f>
        <v>FONDO RISCHI FALLIMENTO FARO</v>
      </c>
      <c r="E2471" s="13" t="str">
        <f>"AGENZIA DELLE ENTRATE - UFFICIO PROVINCIALE DI MILANO - TERRITORIO"</f>
        <v>AGENZIA DELLE ENTRATE - UFFICIO PROVINCIALE DI MILANO - TERRITORIO</v>
      </c>
      <c r="F2471" s="13" t="str">
        <f>"Imposta di Registro Causa Pini/CTO"</f>
        <v>Imposta di Registro Causa Pini/CTO</v>
      </c>
      <c r="G2471" s="15">
        <v>217.5</v>
      </c>
    </row>
    <row r="2472" spans="1:7" ht="22.5" x14ac:dyDescent="0.25">
      <c r="A2472" s="13">
        <v>14830</v>
      </c>
      <c r="B2472" s="14">
        <v>43455.401435185187</v>
      </c>
      <c r="C2472" s="13" t="s">
        <v>10</v>
      </c>
      <c r="D2472" s="13" t="str">
        <f>"PRESTAZIONI INFERMIERISTICHE DA PRIVATO"</f>
        <v>PRESTAZIONI INFERMIERISTICHE DA PRIVATO</v>
      </c>
      <c r="E2472" s="13" t="str">
        <f t="shared" ref="E2472:E2477" si="182">"UNIVERSIIS - Societa Cooperativa Sociale"</f>
        <v>UNIVERSIIS - Societa Cooperativa Sociale</v>
      </c>
      <c r="F2472" s="13" t="str">
        <f>"CONS.CO.CO.,INTER.DA STUTT.SANIT.DA PRIV"</f>
        <v>CONS.CO.CO.,INTER.DA STUTT.SANIT.DA PRIV</v>
      </c>
      <c r="G2472" s="15">
        <v>126863.21</v>
      </c>
    </row>
    <row r="2473" spans="1:7" ht="22.5" x14ac:dyDescent="0.25">
      <c r="A2473" s="13">
        <v>14831</v>
      </c>
      <c r="B2473" s="14">
        <v>43455.401435185187</v>
      </c>
      <c r="C2473" s="13" t="s">
        <v>10</v>
      </c>
      <c r="D2473" s="13" t="str">
        <f>"PRESTAZIONI INFERMIERISTICHE DA PRIVATO"</f>
        <v>PRESTAZIONI INFERMIERISTICHE DA PRIVATO</v>
      </c>
      <c r="E2473" s="13" t="str">
        <f t="shared" si="182"/>
        <v>UNIVERSIIS - Societa Cooperativa Sociale</v>
      </c>
      <c r="F2473" s="13" t="str">
        <f>"CONS.CO.CO.,INTER.DA STUTT.SANIT.DA PRIV"</f>
        <v>CONS.CO.CO.,INTER.DA STUTT.SANIT.DA PRIV</v>
      </c>
      <c r="G2473" s="15">
        <v>121055.67</v>
      </c>
    </row>
    <row r="2474" spans="1:7" ht="22.5" x14ac:dyDescent="0.25">
      <c r="A2474" s="13">
        <v>14832</v>
      </c>
      <c r="B2474" s="14">
        <v>43455.401435185187</v>
      </c>
      <c r="C2474" s="13" t="s">
        <v>10</v>
      </c>
      <c r="D2474" s="13" t="str">
        <f>"PRESTAZIONI INFERMIERISTICHE DA PRIVATO"</f>
        <v>PRESTAZIONI INFERMIERISTICHE DA PRIVATO</v>
      </c>
      <c r="E2474" s="13" t="str">
        <f t="shared" si="182"/>
        <v>UNIVERSIIS - Societa Cooperativa Sociale</v>
      </c>
      <c r="F2474" s="13" t="str">
        <f>"CONS.CO.CO.,INTER.DA STUTT.SANIT.DA PRIV"</f>
        <v>CONS.CO.CO.,INTER.DA STUTT.SANIT.DA PRIV</v>
      </c>
      <c r="G2474" s="15">
        <v>109363.36</v>
      </c>
    </row>
    <row r="2475" spans="1:7" ht="22.5" x14ac:dyDescent="0.25">
      <c r="A2475" s="13">
        <v>14833</v>
      </c>
      <c r="B2475" s="14">
        <v>43455.401435185187</v>
      </c>
      <c r="C2475" s="13" t="s">
        <v>10</v>
      </c>
      <c r="D2475" s="13" t="str">
        <f>"PRESTAZIONI INFERMIERISTICHE DA PRIVATO"</f>
        <v>PRESTAZIONI INFERMIERISTICHE DA PRIVATO</v>
      </c>
      <c r="E2475" s="13" t="str">
        <f t="shared" si="182"/>
        <v>UNIVERSIIS - Societa Cooperativa Sociale</v>
      </c>
      <c r="F2475" s="13" t="str">
        <f>"CONS.CO.CO.,INTER.DA STUTT.SANIT.DA PRIV"</f>
        <v>CONS.CO.CO.,INTER.DA STUTT.SANIT.DA PRIV</v>
      </c>
      <c r="G2475" s="15">
        <v>128297.17</v>
      </c>
    </row>
    <row r="2476" spans="1:7" ht="22.5" x14ac:dyDescent="0.25">
      <c r="A2476" s="13">
        <v>14834</v>
      </c>
      <c r="B2476" s="14">
        <v>43455.401435185187</v>
      </c>
      <c r="C2476" s="13" t="s">
        <v>10</v>
      </c>
      <c r="D2476" s="13" t="str">
        <f>"PRESTAZIONI INFERMIERISTICHE DA PRIVATO"</f>
        <v>PRESTAZIONI INFERMIERISTICHE DA PRIVATO</v>
      </c>
      <c r="E2476" s="13" t="str">
        <f t="shared" si="182"/>
        <v>UNIVERSIIS - Societa Cooperativa Sociale</v>
      </c>
      <c r="F2476" s="13" t="str">
        <f>"CONS.CO.CO.,INTER.DA STUTT.SANIT.DA PRIV"</f>
        <v>CONS.CO.CO.,INTER.DA STUTT.SANIT.DA PRIV</v>
      </c>
      <c r="G2476" s="15">
        <v>127799.63</v>
      </c>
    </row>
    <row r="2477" spans="1:7" ht="22.5" x14ac:dyDescent="0.25">
      <c r="A2477" s="13">
        <v>14835</v>
      </c>
      <c r="B2477" s="14">
        <v>43455.401435185187</v>
      </c>
      <c r="C2477" s="13" t="s">
        <v>10</v>
      </c>
      <c r="D2477" s="13" t="str">
        <f>"SERVIZIO ARCHIVIAZIONE (CUP)"</f>
        <v>SERVIZIO ARCHIVIAZIONE (CUP)</v>
      </c>
      <c r="E2477" s="13" t="str">
        <f t="shared" si="182"/>
        <v>UNIVERSIIS - Societa Cooperativa Sociale</v>
      </c>
      <c r="F2477" s="13" t="str">
        <f>"ALTRE SPESE PER SERV.NON SANITARI"</f>
        <v>ALTRE SPESE PER SERV.NON SANITARI</v>
      </c>
      <c r="G2477" s="15">
        <v>13686.84</v>
      </c>
    </row>
    <row r="2478" spans="1:7" ht="22.5" x14ac:dyDescent="0.25">
      <c r="A2478" s="13">
        <v>14836</v>
      </c>
      <c r="B2478" s="14">
        <v>43455.425370370373</v>
      </c>
      <c r="C2478" s="13" t="s">
        <v>10</v>
      </c>
      <c r="D2478" s="13" t="str">
        <f>"PRESTAZIONI SANITARIE DA ASST/ATS REGIONE"</f>
        <v>PRESTAZIONI SANITARIE DA ASST/ATS REGIONE</v>
      </c>
      <c r="E2478" s="13" t="str">
        <f t="shared" ref="E2478:E2501" si="183">"FONDAZIONE IRCCS  CA'  GRANDA - OSPEDALE MAGGIORE - POLICLINICO"</f>
        <v>FONDAZIONE IRCCS  CA'  GRANDA - OSPEDALE MAGGIORE - POLICLINICO</v>
      </c>
      <c r="F2478" s="13" t="s">
        <v>24</v>
      </c>
      <c r="G2478" s="15">
        <v>8454.5</v>
      </c>
    </row>
    <row r="2479" spans="1:7" ht="22.5" x14ac:dyDescent="0.25">
      <c r="A2479" s="13">
        <v>14837</v>
      </c>
      <c r="B2479" s="14">
        <v>43455.425370370373</v>
      </c>
      <c r="C2479" s="13" t="s">
        <v>10</v>
      </c>
      <c r="D2479" s="13" t="str">
        <f>"PRESTAZIONI SANITARIE DA ASST/ATS REGIONE"</f>
        <v>PRESTAZIONI SANITARIE DA ASST/ATS REGIONE</v>
      </c>
      <c r="E2479" s="13" t="str">
        <f t="shared" si="183"/>
        <v>FONDAZIONE IRCCS  CA'  GRANDA - OSPEDALE MAGGIORE - POLICLINICO</v>
      </c>
      <c r="F2479" s="13" t="s">
        <v>24</v>
      </c>
      <c r="G2479" s="15">
        <v>3222</v>
      </c>
    </row>
    <row r="2480" spans="1:7" ht="22.5" x14ac:dyDescent="0.25">
      <c r="A2480" s="13">
        <v>14838</v>
      </c>
      <c r="B2480" s="14">
        <v>43455.425370370373</v>
      </c>
      <c r="C2480" s="13" t="s">
        <v>10</v>
      </c>
      <c r="D2480" s="13" t="str">
        <f>"PRESTAZIONI SANITARIE DA ASST/ATS REGIONE"</f>
        <v>PRESTAZIONI SANITARIE DA ASST/ATS REGIONE</v>
      </c>
      <c r="E2480" s="13" t="str">
        <f t="shared" si="183"/>
        <v>FONDAZIONE IRCCS  CA'  GRANDA - OSPEDALE MAGGIORE - POLICLINICO</v>
      </c>
      <c r="F2480" s="13" t="s">
        <v>24</v>
      </c>
      <c r="G2480" s="15">
        <v>10294.5</v>
      </c>
    </row>
    <row r="2481" spans="1:7" ht="22.5" x14ac:dyDescent="0.25">
      <c r="A2481" s="13">
        <v>14839</v>
      </c>
      <c r="B2481" s="14">
        <v>43455.425370370373</v>
      </c>
      <c r="C2481" s="13" t="s">
        <v>10</v>
      </c>
      <c r="D2481" s="13" t="str">
        <f>"Fatture da Ricevere Generico"</f>
        <v>Fatture da Ricevere Generico</v>
      </c>
      <c r="E2481" s="13" t="str">
        <f t="shared" si="183"/>
        <v>FONDAZIONE IRCCS  CA'  GRANDA - OSPEDALE MAGGIORE - POLICLINICO</v>
      </c>
      <c r="F2481" s="13" t="str">
        <f>"ACQ.BENI SAN.DA ALTRE STR.SANITARIE"</f>
        <v>ACQ.BENI SAN.DA ALTRE STR.SANITARIE</v>
      </c>
      <c r="G2481" s="15">
        <v>7631.57</v>
      </c>
    </row>
    <row r="2482" spans="1:7" ht="22.5" x14ac:dyDescent="0.25">
      <c r="A2482" s="13">
        <v>14840</v>
      </c>
      <c r="B2482" s="14">
        <v>43455.425370370373</v>
      </c>
      <c r="C2482" s="13" t="s">
        <v>10</v>
      </c>
      <c r="D2482" s="13" t="str">
        <f>"Fatture da Ricevere Generico"</f>
        <v>Fatture da Ricevere Generico</v>
      </c>
      <c r="E2482" s="13" t="str">
        <f t="shared" si="183"/>
        <v>FONDAZIONE IRCCS  CA'  GRANDA - OSPEDALE MAGGIORE - POLICLINICO</v>
      </c>
      <c r="F2482" s="13" t="str">
        <f>"ACQ.BENI SAN.DA ALTRE STR.SANITARIE"</f>
        <v>ACQ.BENI SAN.DA ALTRE STR.SANITARIE</v>
      </c>
      <c r="G2482" s="15">
        <v>24850.799999999999</v>
      </c>
    </row>
    <row r="2483" spans="1:7" ht="33.75" x14ac:dyDescent="0.25">
      <c r="A2483" s="13">
        <v>14841</v>
      </c>
      <c r="B2483" s="14">
        <v>43455.425370370373</v>
      </c>
      <c r="C2483" s="13" t="s">
        <v>10</v>
      </c>
      <c r="D2483" s="13" t="str">
        <f>"FT RIC FONDAZIONE IRCCS CA' GRANDA-OSPEDALE MAGGIORE-POLICLINICO"</f>
        <v>FT RIC FONDAZIONE IRCCS CA' GRANDA-OSPEDALE MAGGIORE-POLICLINICO</v>
      </c>
      <c r="E2483" s="13" t="str">
        <f t="shared" si="183"/>
        <v>FONDAZIONE IRCCS  CA'  GRANDA - OSPEDALE MAGGIORE - POLICLINICO</v>
      </c>
      <c r="F2483" s="13" t="str">
        <f>"ACQ.PREST.SAN.DA STRUTT.SAN.REG."</f>
        <v>ACQ.PREST.SAN.DA STRUTT.SAN.REG.</v>
      </c>
      <c r="G2483" s="15">
        <v>55357.51</v>
      </c>
    </row>
    <row r="2484" spans="1:7" ht="33.75" x14ac:dyDescent="0.25">
      <c r="A2484" s="13">
        <v>14842</v>
      </c>
      <c r="B2484" s="14">
        <v>43455.425370370373</v>
      </c>
      <c r="C2484" s="13" t="s">
        <v>10</v>
      </c>
      <c r="D2484" s="13" t="str">
        <f>"FT RIC FONDAZIONE IRCCS CA' GRANDA-OSPEDALE MAGGIORE-POLICLINICO"</f>
        <v>FT RIC FONDAZIONE IRCCS CA' GRANDA-OSPEDALE MAGGIORE-POLICLINICO</v>
      </c>
      <c r="E2484" s="13" t="str">
        <f t="shared" si="183"/>
        <v>FONDAZIONE IRCCS  CA'  GRANDA - OSPEDALE MAGGIORE - POLICLINICO</v>
      </c>
      <c r="F2484" s="13" t="str">
        <f>"ACQ.PREST.SAN.DA STRUTT.SAN.REG."</f>
        <v>ACQ.PREST.SAN.DA STRUTT.SAN.REG.</v>
      </c>
      <c r="G2484" s="15">
        <v>61775.79</v>
      </c>
    </row>
    <row r="2485" spans="1:7" ht="33.75" x14ac:dyDescent="0.25">
      <c r="A2485" s="13">
        <v>14843</v>
      </c>
      <c r="B2485" s="14">
        <v>43455.425370370373</v>
      </c>
      <c r="C2485" s="13" t="s">
        <v>10</v>
      </c>
      <c r="D2485" s="13" t="str">
        <f>"FT RIC FONDAZIONE IRCCS CA' GRANDA-OSPEDALE MAGGIORE-POLICLINICO"</f>
        <v>FT RIC FONDAZIONE IRCCS CA' GRANDA-OSPEDALE MAGGIORE-POLICLINICO</v>
      </c>
      <c r="E2485" s="13" t="str">
        <f t="shared" si="183"/>
        <v>FONDAZIONE IRCCS  CA'  GRANDA - OSPEDALE MAGGIORE - POLICLINICO</v>
      </c>
      <c r="F2485" s="13" t="str">
        <f>"ACQ.PREST.SAN.DA STRUTT.SAN.REG."</f>
        <v>ACQ.PREST.SAN.DA STRUTT.SAN.REG.</v>
      </c>
      <c r="G2485" s="15">
        <v>57576.23</v>
      </c>
    </row>
    <row r="2486" spans="1:7" ht="22.5" x14ac:dyDescent="0.25">
      <c r="A2486" s="13">
        <v>14844</v>
      </c>
      <c r="B2486" s="14">
        <v>43455.425370370373</v>
      </c>
      <c r="C2486" s="13" t="s">
        <v>10</v>
      </c>
      <c r="D2486" s="13" t="str">
        <f>"NC RIC FOND IRCCS CA GRANDA OSP MAGGIORE"</f>
        <v>NC RIC FOND IRCCS CA GRANDA OSP MAGGIORE</v>
      </c>
      <c r="E2486" s="13" t="str">
        <f t="shared" si="183"/>
        <v>FONDAZIONE IRCCS  CA'  GRANDA - OSPEDALE MAGGIORE - POLICLINICO</v>
      </c>
      <c r="F2486" s="13" t="str">
        <f t="shared" ref="F2486:F2493" si="184">"ACQ.BENI SAN.DA ALTRE STR.SANITARIE"</f>
        <v>ACQ.BENI SAN.DA ALTRE STR.SANITARIE</v>
      </c>
      <c r="G2486" s="15">
        <v>55225.62</v>
      </c>
    </row>
    <row r="2487" spans="1:7" ht="22.5" x14ac:dyDescent="0.25">
      <c r="A2487" s="13">
        <v>14845</v>
      </c>
      <c r="B2487" s="14">
        <v>43455.425370370373</v>
      </c>
      <c r="C2487" s="13" t="s">
        <v>10</v>
      </c>
      <c r="D2487" s="13" t="str">
        <f>"NC RIC FOND IRCCS CA GRANDA OSP MAGGIORE"</f>
        <v>NC RIC FOND IRCCS CA GRANDA OSP MAGGIORE</v>
      </c>
      <c r="E2487" s="13" t="str">
        <f t="shared" si="183"/>
        <v>FONDAZIONE IRCCS  CA'  GRANDA - OSPEDALE MAGGIORE - POLICLINICO</v>
      </c>
      <c r="F2487" s="13" t="str">
        <f t="shared" si="184"/>
        <v>ACQ.BENI SAN.DA ALTRE STR.SANITARIE</v>
      </c>
      <c r="G2487" s="15">
        <v>64361.440000000002</v>
      </c>
    </row>
    <row r="2488" spans="1:7" ht="22.5" x14ac:dyDescent="0.25">
      <c r="A2488" s="13">
        <v>14846</v>
      </c>
      <c r="B2488" s="14">
        <v>43455.425370370373</v>
      </c>
      <c r="C2488" s="13" t="s">
        <v>10</v>
      </c>
      <c r="D2488" s="13" t="str">
        <f>"NC RIC FOND IRCCS CA GRANDA OSP MAGGIORE"</f>
        <v>NC RIC FOND IRCCS CA GRANDA OSP MAGGIORE</v>
      </c>
      <c r="E2488" s="13" t="str">
        <f t="shared" si="183"/>
        <v>FONDAZIONE IRCCS  CA'  GRANDA - OSPEDALE MAGGIORE - POLICLINICO</v>
      </c>
      <c r="F2488" s="13" t="str">
        <f t="shared" si="184"/>
        <v>ACQ.BENI SAN.DA ALTRE STR.SANITARIE</v>
      </c>
      <c r="G2488" s="15">
        <v>-15904.6</v>
      </c>
    </row>
    <row r="2489" spans="1:7" ht="33.75" x14ac:dyDescent="0.25">
      <c r="A2489" s="13">
        <v>14847</v>
      </c>
      <c r="B2489" s="14">
        <v>43455.425370370373</v>
      </c>
      <c r="C2489" s="13" t="s">
        <v>10</v>
      </c>
      <c r="D2489" s="13" t="str">
        <f>"NC RIC FONDAZIONE IRCCS CA' GRANDA-OSPEDALE MAGGIORE-POLICLINICO"</f>
        <v>NC RIC FONDAZIONE IRCCS CA' GRANDA-OSPEDALE MAGGIORE-POLICLINICO</v>
      </c>
      <c r="E2489" s="13" t="str">
        <f t="shared" si="183"/>
        <v>FONDAZIONE IRCCS  CA'  GRANDA - OSPEDALE MAGGIORE - POLICLINICO</v>
      </c>
      <c r="F2489" s="13" t="str">
        <f t="shared" si="184"/>
        <v>ACQ.BENI SAN.DA ALTRE STR.SANITARIE</v>
      </c>
      <c r="G2489" s="15">
        <v>57434.06</v>
      </c>
    </row>
    <row r="2490" spans="1:7" ht="33.75" x14ac:dyDescent="0.25">
      <c r="A2490" s="13">
        <v>14848</v>
      </c>
      <c r="B2490" s="14">
        <v>43455.425370370373</v>
      </c>
      <c r="C2490" s="13" t="s">
        <v>10</v>
      </c>
      <c r="D2490" s="13" t="str">
        <f>"NC RIC FONDAZIONE IRCCS CA' GRANDA-OSPEDALE MAGGIORE-POLICLINICO"</f>
        <v>NC RIC FONDAZIONE IRCCS CA' GRANDA-OSPEDALE MAGGIORE-POLICLINICO</v>
      </c>
      <c r="E2490" s="13" t="str">
        <f t="shared" si="183"/>
        <v>FONDAZIONE IRCCS  CA'  GRANDA - OSPEDALE MAGGIORE - POLICLINICO</v>
      </c>
      <c r="F2490" s="13" t="str">
        <f t="shared" si="184"/>
        <v>ACQ.BENI SAN.DA ALTRE STR.SANITARIE</v>
      </c>
      <c r="G2490" s="15">
        <v>42238.57</v>
      </c>
    </row>
    <row r="2491" spans="1:7" ht="33.75" x14ac:dyDescent="0.25">
      <c r="A2491" s="13">
        <v>14849</v>
      </c>
      <c r="B2491" s="14">
        <v>43455.425370370373</v>
      </c>
      <c r="C2491" s="13" t="s">
        <v>10</v>
      </c>
      <c r="D2491" s="13" t="str">
        <f>"NC RIC FONDAZIONE IRCCS CA' GRANDA-OSPEDALE MAGGIORE-POLICLINICO"</f>
        <v>NC RIC FONDAZIONE IRCCS CA' GRANDA-OSPEDALE MAGGIORE-POLICLINICO</v>
      </c>
      <c r="E2491" s="13" t="str">
        <f t="shared" si="183"/>
        <v>FONDAZIONE IRCCS  CA'  GRANDA - OSPEDALE MAGGIORE - POLICLINICO</v>
      </c>
      <c r="F2491" s="13" t="str">
        <f t="shared" si="184"/>
        <v>ACQ.BENI SAN.DA ALTRE STR.SANITARIE</v>
      </c>
      <c r="G2491" s="15">
        <v>27582.68</v>
      </c>
    </row>
    <row r="2492" spans="1:7" ht="33.75" x14ac:dyDescent="0.25">
      <c r="A2492" s="13">
        <v>14850</v>
      </c>
      <c r="B2492" s="14">
        <v>43455.425370370373</v>
      </c>
      <c r="C2492" s="13" t="s">
        <v>10</v>
      </c>
      <c r="D2492" s="13" t="str">
        <f>"NC RIC FONDAZIONE IRCCS CA' GRANDA-OSPEDALE MAGGIORE-POLICLINICO"</f>
        <v>NC RIC FONDAZIONE IRCCS CA' GRANDA-OSPEDALE MAGGIORE-POLICLINICO</v>
      </c>
      <c r="E2492" s="13" t="str">
        <f t="shared" si="183"/>
        <v>FONDAZIONE IRCCS  CA'  GRANDA - OSPEDALE MAGGIORE - POLICLINICO</v>
      </c>
      <c r="F2492" s="13" t="str">
        <f t="shared" si="184"/>
        <v>ACQ.BENI SAN.DA ALTRE STR.SANITARIE</v>
      </c>
      <c r="G2492" s="15">
        <v>62623.63</v>
      </c>
    </row>
    <row r="2493" spans="1:7" ht="33.75" x14ac:dyDescent="0.25">
      <c r="A2493" s="13">
        <v>14851</v>
      </c>
      <c r="B2493" s="14">
        <v>43455.425370370373</v>
      </c>
      <c r="C2493" s="13" t="s">
        <v>10</v>
      </c>
      <c r="D2493" s="13" t="str">
        <f>"NC RIC FONDAZIONE IRCCS CA' GRANDA-OSPEDALE MAGGIORE-POLICLINICO"</f>
        <v>NC RIC FONDAZIONE IRCCS CA' GRANDA-OSPEDALE MAGGIORE-POLICLINICO</v>
      </c>
      <c r="E2493" s="13" t="str">
        <f t="shared" si="183"/>
        <v>FONDAZIONE IRCCS  CA'  GRANDA - OSPEDALE MAGGIORE - POLICLINICO</v>
      </c>
      <c r="F2493" s="13" t="str">
        <f t="shared" si="184"/>
        <v>ACQ.BENI SAN.DA ALTRE STR.SANITARIE</v>
      </c>
      <c r="G2493" s="15">
        <v>-14103.59</v>
      </c>
    </row>
    <row r="2494" spans="1:7" ht="22.5" x14ac:dyDescent="0.25">
      <c r="A2494" s="13">
        <v>14852</v>
      </c>
      <c r="B2494" s="14">
        <v>43455.425370370373</v>
      </c>
      <c r="C2494" s="13" t="s">
        <v>10</v>
      </c>
      <c r="D2494" s="13" t="str">
        <f>"PRESTAZIONI SANITARIE DA ASST/ATS REGIONE"</f>
        <v>PRESTAZIONI SANITARIE DA ASST/ATS REGIONE</v>
      </c>
      <c r="E2494" s="13" t="str">
        <f t="shared" si="183"/>
        <v>FONDAZIONE IRCCS  CA'  GRANDA - OSPEDALE MAGGIORE - POLICLINICO</v>
      </c>
      <c r="F2494" s="13" t="str">
        <f>"ACQ.PREST.SAN.DA STRUTT.SAN.REG."</f>
        <v>ACQ.PREST.SAN.DA STRUTT.SAN.REG.</v>
      </c>
      <c r="G2494" s="15">
        <v>65484.28</v>
      </c>
    </row>
    <row r="2495" spans="1:7" ht="22.5" x14ac:dyDescent="0.25">
      <c r="A2495" s="13">
        <v>14853</v>
      </c>
      <c r="B2495" s="14">
        <v>43455.425370370373</v>
      </c>
      <c r="C2495" s="13" t="s">
        <v>10</v>
      </c>
      <c r="D2495" s="13" t="str">
        <f>"PRESTAZIONI SANITARIE DA ASST/ATS REGIONE"</f>
        <v>PRESTAZIONI SANITARIE DA ASST/ATS REGIONE</v>
      </c>
      <c r="E2495" s="13" t="str">
        <f t="shared" si="183"/>
        <v>FONDAZIONE IRCCS  CA'  GRANDA - OSPEDALE MAGGIORE - POLICLINICO</v>
      </c>
      <c r="F2495" s="13" t="str">
        <f>"ACQ.PREST.SAN.DA STRUTT.SAN.REG."</f>
        <v>ACQ.PREST.SAN.DA STRUTT.SAN.REG.</v>
      </c>
      <c r="G2495" s="15">
        <v>67402.210000000006</v>
      </c>
    </row>
    <row r="2496" spans="1:7" ht="22.5" x14ac:dyDescent="0.25">
      <c r="A2496" s="13">
        <v>14854</v>
      </c>
      <c r="B2496" s="14">
        <v>43455.425370370373</v>
      </c>
      <c r="C2496" s="13" t="s">
        <v>10</v>
      </c>
      <c r="D2496" s="13" t="str">
        <f>"PRESTAZIONI SANITARIE DA ASST/ATS REGIONE"</f>
        <v>PRESTAZIONI SANITARIE DA ASST/ATS REGIONE</v>
      </c>
      <c r="E2496" s="13" t="str">
        <f t="shared" si="183"/>
        <v>FONDAZIONE IRCCS  CA'  GRANDA - OSPEDALE MAGGIORE - POLICLINICO</v>
      </c>
      <c r="F2496" s="13" t="str">
        <f>"ACQ.PREST.SAN.DA STRUTT.SAN.REG."</f>
        <v>ACQ.PREST.SAN.DA STRUTT.SAN.REG.</v>
      </c>
      <c r="G2496" s="15">
        <v>62800.35</v>
      </c>
    </row>
    <row r="2497" spans="1:7" ht="22.5" x14ac:dyDescent="0.25">
      <c r="A2497" s="13">
        <v>14855</v>
      </c>
      <c r="B2497" s="14">
        <v>43455.425370370373</v>
      </c>
      <c r="C2497" s="13" t="s">
        <v>10</v>
      </c>
      <c r="D2497" s="13" t="str">
        <f>"SANGUE DA ASL-AO-IRCCS REGIONE"</f>
        <v>SANGUE DA ASL-AO-IRCCS REGIONE</v>
      </c>
      <c r="E2497" s="13" t="str">
        <f t="shared" si="183"/>
        <v>FONDAZIONE IRCCS  CA'  GRANDA - OSPEDALE MAGGIORE - POLICLINICO</v>
      </c>
      <c r="F2497" s="13" t="str">
        <f>"ACQ.BENI SAN.DA ALTRE STR.SANITARIE"</f>
        <v>ACQ.BENI SAN.DA ALTRE STR.SANITARIE</v>
      </c>
      <c r="G2497" s="15">
        <v>70013.149999999994</v>
      </c>
    </row>
    <row r="2498" spans="1:7" ht="22.5" x14ac:dyDescent="0.25">
      <c r="A2498" s="13">
        <v>14856</v>
      </c>
      <c r="B2498" s="14">
        <v>43455.425370370373</v>
      </c>
      <c r="C2498" s="13" t="s">
        <v>10</v>
      </c>
      <c r="D2498" s="13" t="str">
        <f>"SANGUE DA ASL-AO-IRCCS REGIONE"</f>
        <v>SANGUE DA ASL-AO-IRCCS REGIONE</v>
      </c>
      <c r="E2498" s="13" t="str">
        <f t="shared" si="183"/>
        <v>FONDAZIONE IRCCS  CA'  GRANDA - OSPEDALE MAGGIORE - POLICLINICO</v>
      </c>
      <c r="F2498" s="13" t="str">
        <f>"ACQ.BENI SAN.DA ALTRE STR.SANITARIE"</f>
        <v>ACQ.BENI SAN.DA ALTRE STR.SANITARIE</v>
      </c>
      <c r="G2498" s="15">
        <v>-6971.46</v>
      </c>
    </row>
    <row r="2499" spans="1:7" ht="22.5" x14ac:dyDescent="0.25">
      <c r="A2499" s="13">
        <v>14857</v>
      </c>
      <c r="B2499" s="14">
        <v>43455.425370370373</v>
      </c>
      <c r="C2499" s="13" t="s">
        <v>10</v>
      </c>
      <c r="D2499" s="13" t="str">
        <f>"SANGUE DA ASL-AO-IRCCS REGIONE"</f>
        <v>SANGUE DA ASL-AO-IRCCS REGIONE</v>
      </c>
      <c r="E2499" s="13" t="str">
        <f t="shared" si="183"/>
        <v>FONDAZIONE IRCCS  CA'  GRANDA - OSPEDALE MAGGIORE - POLICLINICO</v>
      </c>
      <c r="F2499" s="13" t="str">
        <f>"ACQ.BENI SAN.DA ALTRE STR.SANITARIE"</f>
        <v>ACQ.BENI SAN.DA ALTRE STR.SANITARIE</v>
      </c>
      <c r="G2499" s="15">
        <v>-13785.95</v>
      </c>
    </row>
    <row r="2500" spans="1:7" ht="22.5" x14ac:dyDescent="0.25">
      <c r="A2500" s="13">
        <v>14858</v>
      </c>
      <c r="B2500" s="14">
        <v>43455.425370370373</v>
      </c>
      <c r="C2500" s="13" t="s">
        <v>10</v>
      </c>
      <c r="D2500" s="13" t="str">
        <f>"SANGUE DA ASL-AO-IRCCS REGIONE"</f>
        <v>SANGUE DA ASL-AO-IRCCS REGIONE</v>
      </c>
      <c r="E2500" s="13" t="str">
        <f t="shared" si="183"/>
        <v>FONDAZIONE IRCCS  CA'  GRANDA - OSPEDALE MAGGIORE - POLICLINICO</v>
      </c>
      <c r="F2500" s="13" t="str">
        <f>"ACQ.BENI SAN.DA ALTRE STR.SANITARIE"</f>
        <v>ACQ.BENI SAN.DA ALTRE STR.SANITARIE</v>
      </c>
      <c r="G2500" s="15">
        <v>-10725.94</v>
      </c>
    </row>
    <row r="2501" spans="1:7" ht="22.5" x14ac:dyDescent="0.25">
      <c r="A2501" s="13">
        <v>14859</v>
      </c>
      <c r="B2501" s="14">
        <v>43455.425370370373</v>
      </c>
      <c r="C2501" s="13" t="s">
        <v>10</v>
      </c>
      <c r="D2501" s="13" t="str">
        <f>"SANGUE DA ASL-AO-IRCCS REGIONE"</f>
        <v>SANGUE DA ASL-AO-IRCCS REGIONE</v>
      </c>
      <c r="E2501" s="13" t="str">
        <f t="shared" si="183"/>
        <v>FONDAZIONE IRCCS  CA'  GRANDA - OSPEDALE MAGGIORE - POLICLINICO</v>
      </c>
      <c r="F2501" s="13" t="str">
        <f>"ACQ.BENI SAN.DA ALTRE STR.SANITARIE"</f>
        <v>ACQ.BENI SAN.DA ALTRE STR.SANITARIE</v>
      </c>
      <c r="G2501" s="15">
        <v>-15661.65</v>
      </c>
    </row>
    <row r="2502" spans="1:7" ht="22.5" x14ac:dyDescent="0.25">
      <c r="A2502" s="13">
        <v>14860</v>
      </c>
      <c r="B2502" s="14">
        <v>43455.459351851852</v>
      </c>
      <c r="C2502" s="13" t="s">
        <v>11</v>
      </c>
      <c r="D2502" s="13" t="str">
        <f>"ONERI DIVERSI"</f>
        <v>ONERI DIVERSI</v>
      </c>
      <c r="E2502" s="13" t="str">
        <f>"CONCESSIONE MILANO A"</f>
        <v>CONCESSIONE MILANO A</v>
      </c>
      <c r="F2502" s="13" t="str">
        <f>"RAVVEDIMENTO OPEROSO RITENUTE ERARIALI NOVEMBRE 18"</f>
        <v>RAVVEDIMENTO OPEROSO RITENUTE ERARIALI NOVEMBRE 18</v>
      </c>
      <c r="G2502" s="15">
        <v>5500.17</v>
      </c>
    </row>
    <row r="2503" spans="1:7" ht="22.5" x14ac:dyDescent="0.25">
      <c r="A2503" s="13">
        <v>14861</v>
      </c>
      <c r="B2503" s="14">
        <v>43455.493518518517</v>
      </c>
      <c r="C2503" s="13" t="s">
        <v>10</v>
      </c>
      <c r="D2503" s="13" t="str">
        <f>"CASSA BANCA INTESA SPA PINI"</f>
        <v>CASSA BANCA INTESA SPA PINI</v>
      </c>
      <c r="E2503" s="13" t="str">
        <f>"COCINI ANNA"</f>
        <v>COCINI ANNA</v>
      </c>
      <c r="F2503" s="13" t="s">
        <v>39</v>
      </c>
      <c r="G2503" s="15">
        <v>1996.8</v>
      </c>
    </row>
    <row r="2504" spans="1:7" ht="22.5" x14ac:dyDescent="0.25">
      <c r="A2504" s="13">
        <v>14862</v>
      </c>
      <c r="B2504" s="14">
        <v>43458.393206018518</v>
      </c>
      <c r="C2504" s="13" t="s">
        <v>10</v>
      </c>
      <c r="D2504" s="13" t="str">
        <f>"CONTO MIGRAZIONE PARTITE PASSIVE"</f>
        <v>CONTO MIGRAZIONE PARTITE PASSIVE</v>
      </c>
      <c r="E2504" s="13" t="str">
        <f>"ASST NORD OPERAZIONI DI CONFERIMENTO/SCORPORO LR23/2015"</f>
        <v>ASST NORD OPERAZIONI DI CONFERIMENTO/SCORPORO LR23/2015</v>
      </c>
      <c r="F2504" s="13" t="str">
        <f>"ASST OPERAZIONE SCORPORO"</f>
        <v>ASST OPERAZIONE SCORPORO</v>
      </c>
      <c r="G2504" s="15">
        <v>117865.76</v>
      </c>
    </row>
    <row r="2505" spans="1:7" ht="22.5" x14ac:dyDescent="0.25">
      <c r="A2505" s="13">
        <v>14863</v>
      </c>
      <c r="B2505" s="14">
        <v>43461</v>
      </c>
      <c r="C2505" s="13" t="s">
        <v>10</v>
      </c>
      <c r="D2505" s="13" t="str">
        <f>"CREDITI VS. PRIVATI"</f>
        <v>CREDITI VS. PRIVATI</v>
      </c>
      <c r="E2505" s="13" t="str">
        <f>"BASSILICHI SPA"</f>
        <v>BASSILICHI SPA</v>
      </c>
      <c r="F2505" s="13" t="str">
        <f>"Fondo Cassa Punti Rossi"</f>
        <v>Fondo Cassa Punti Rossi</v>
      </c>
      <c r="G2505" s="15">
        <v>17160</v>
      </c>
    </row>
    <row r="2506" spans="1:7" ht="22.5" x14ac:dyDescent="0.25">
      <c r="A2506" s="13">
        <v>14864</v>
      </c>
      <c r="B2506" s="14">
        <v>43461.534907407404</v>
      </c>
      <c r="C2506" s="13" t="s">
        <v>11</v>
      </c>
      <c r="D2506" s="13" t="str">
        <f>"I.C.I. - I.M.U. - TASI"</f>
        <v>I.C.I. - I.M.U. - TASI</v>
      </c>
      <c r="E2506" s="13" t="str">
        <f>"AGENZIA DELLE ENTRATE - UFFICIO PROVINCIALE DI MILANO - TERRITORIO"</f>
        <v>AGENZIA DELLE ENTRATE - UFFICIO PROVINCIALE DI MILANO - TERRITORIO</v>
      </c>
      <c r="F2506" s="13" t="str">
        <f>"Saldo TASI"</f>
        <v>Saldo TASI</v>
      </c>
      <c r="G2506" s="15">
        <v>959.71</v>
      </c>
    </row>
    <row r="2507" spans="1:7" ht="22.5" x14ac:dyDescent="0.25">
      <c r="A2507" s="13">
        <v>14865</v>
      </c>
      <c r="B2507" s="14">
        <v>43461.534918981481</v>
      </c>
      <c r="C2507" s="13" t="s">
        <v>11</v>
      </c>
      <c r="D2507" s="13" t="str">
        <f>"CONCESSIONE DI MILANO A PER IVA"</f>
        <v>CONCESSIONE DI MILANO A PER IVA</v>
      </c>
      <c r="E2507" s="13" t="str">
        <f>"CONCESSIONE MILANO A"</f>
        <v>CONCESSIONE MILANO A</v>
      </c>
      <c r="F2507" s="13" t="str">
        <f>"ACCONTO IVA"</f>
        <v>ACCONTO IVA</v>
      </c>
      <c r="G2507" s="15">
        <v>562028.47</v>
      </c>
    </row>
    <row r="2508" spans="1:7" ht="22.5" x14ac:dyDescent="0.25">
      <c r="A2508" s="13">
        <v>14866</v>
      </c>
      <c r="B2508" s="14">
        <v>43461.534918981481</v>
      </c>
      <c r="C2508" s="13" t="s">
        <v>11</v>
      </c>
      <c r="D2508" s="13" t="str">
        <f>"IMPOSTA ERARIALE/ADDIZIONALE PRODUZIONE ENERGIA ELETTRICA"</f>
        <v>IMPOSTA ERARIALE/ADDIZIONALE PRODUZIONE ENERGIA ELETTRICA</v>
      </c>
      <c r="E2508" s="13" t="str">
        <f>"CONCESSIONE MILANO A"</f>
        <v>CONCESSIONE MILANO A</v>
      </c>
      <c r="F2508" s="13" t="str">
        <f>"Imposta di Consumo Annuale 2019"</f>
        <v>Imposta di Consumo Annuale 2019</v>
      </c>
      <c r="G2508" s="15">
        <v>69.72</v>
      </c>
    </row>
    <row r="2509" spans="1:7" ht="22.5" x14ac:dyDescent="0.25">
      <c r="A2509" s="13">
        <v>14867</v>
      </c>
      <c r="B2509" s="14">
        <v>43461.534918981481</v>
      </c>
      <c r="C2509" s="13" t="s">
        <v>11</v>
      </c>
      <c r="D2509" s="13" t="str">
        <f>"IRES"</f>
        <v>IRES</v>
      </c>
      <c r="E2509" s="13" t="str">
        <f>"AGENZIA DELLE ENTRATE - UFFICIO PROVINCIALE DI MILANO - TERRITORIO"</f>
        <v>AGENZIA DELLE ENTRATE - UFFICIO PROVINCIALE DI MILANO - TERRITORIO</v>
      </c>
      <c r="F2509" s="13" t="str">
        <f>"II RATA IRES"</f>
        <v>II RATA IRES</v>
      </c>
      <c r="G2509" s="15">
        <v>63943</v>
      </c>
    </row>
    <row r="2510" spans="1:7" ht="22.5" x14ac:dyDescent="0.25">
      <c r="A2510" s="13">
        <v>14868</v>
      </c>
      <c r="B2510" s="14">
        <v>43461.534918981481</v>
      </c>
      <c r="C2510" s="13" t="s">
        <v>11</v>
      </c>
      <c r="D2510" s="13" t="str">
        <f>"IVA SPLIT PAYMENT"</f>
        <v>IVA SPLIT PAYMENT</v>
      </c>
      <c r="E2510" s="13" t="str">
        <f>"CONCESSIONE MILANO A"</f>
        <v>CONCESSIONE MILANO A</v>
      </c>
      <c r="F2510" s="13" t="str">
        <f>"VERSAMENTO IVA mese di Novembre 2018"</f>
        <v>VERSAMENTO IVA mese di Novembre 2018</v>
      </c>
      <c r="G2510" s="15">
        <v>670939.92000000004</v>
      </c>
    </row>
    <row r="2511" spans="1:7" ht="22.5" x14ac:dyDescent="0.25">
      <c r="A2511" s="13">
        <v>14869</v>
      </c>
      <c r="B2511" s="14">
        <v>43461.534918981481</v>
      </c>
      <c r="C2511" s="13" t="s">
        <v>11</v>
      </c>
      <c r="D2511" s="13" t="str">
        <f>"UFFICIO DEL REGISTRO DI MILANO"</f>
        <v>UFFICIO DEL REGISTRO DI MILANO</v>
      </c>
      <c r="E2511" s="13" t="str">
        <f>"UFFICIO DEL REGISTRO DI MILANO"</f>
        <v>UFFICIO DEL REGISTRO DI MILANO</v>
      </c>
      <c r="F2511" s="13" t="str">
        <f>"VI RATA IMPOSTA DI BOLLO VIRTUALE"</f>
        <v>VI RATA IMPOSTA DI BOLLO VIRTUALE</v>
      </c>
      <c r="G2511" s="15">
        <v>9813.41</v>
      </c>
    </row>
    <row r="2512" spans="1:7" ht="22.5" x14ac:dyDescent="0.25">
      <c r="A2512" s="13">
        <v>14870</v>
      </c>
      <c r="B2512" s="14">
        <v>43461.534930555557</v>
      </c>
      <c r="C2512" s="13" t="s">
        <v>11</v>
      </c>
      <c r="D2512" s="13" t="str">
        <f>"I.C.I. - I.M.U. - TASI"</f>
        <v>I.C.I. - I.M.U. - TASI</v>
      </c>
      <c r="E2512" s="13" t="str">
        <f>"AGENZIA DELLE ENTRATE - UFFICIO PROVINCIALE DI MILANO - TERRITORIO"</f>
        <v>AGENZIA DELLE ENTRATE - UFFICIO PROVINCIALE DI MILANO - TERRITORIO</v>
      </c>
      <c r="F2512" s="13" t="str">
        <f>"Saldo IMU Anno 2018"</f>
        <v>Saldo IMU Anno 2018</v>
      </c>
      <c r="G2512" s="15">
        <v>10670.99</v>
      </c>
    </row>
    <row r="2513" spans="1:7" ht="22.5" x14ac:dyDescent="0.25">
      <c r="A2513" s="13">
        <v>14871</v>
      </c>
      <c r="B2513" s="14">
        <v>43461.534930555557</v>
      </c>
      <c r="C2513" s="13" t="s">
        <v>11</v>
      </c>
      <c r="D2513" s="13" t="str">
        <f>"SPESE E COMMISSIONI BANCARIE"</f>
        <v>SPESE E COMMISSIONI BANCARIE</v>
      </c>
      <c r="E2513" s="13" t="str">
        <f>"INTESA SANPAOLO SPA"</f>
        <v>INTESA SANPAOLO SPA</v>
      </c>
      <c r="F2513" s="13" t="str">
        <f>"Spese"</f>
        <v>Spese</v>
      </c>
      <c r="G2513" s="15">
        <v>33</v>
      </c>
    </row>
    <row r="2514" spans="1:7" ht="22.5" x14ac:dyDescent="0.25">
      <c r="A2514" s="13">
        <v>14872</v>
      </c>
      <c r="B2514" s="14">
        <v>43461.534930555557</v>
      </c>
      <c r="C2514" s="13" t="s">
        <v>11</v>
      </c>
      <c r="D2514" s="13" t="str">
        <f>"UFFICIO DEL REGISTRO DI MILANO"</f>
        <v>UFFICIO DEL REGISTRO DI MILANO</v>
      </c>
      <c r="E2514" s="13" t="str">
        <f>"UFFICIO DEL REGISTRO DI MILANO"</f>
        <v>UFFICIO DEL REGISTRO DI MILANO</v>
      </c>
      <c r="F2514" s="13" t="str">
        <f>"V RATA IMPOSTA DI BOLLO VIRTUALE"</f>
        <v>V RATA IMPOSTA DI BOLLO VIRTUALE</v>
      </c>
      <c r="G2514" s="15">
        <v>9804.66</v>
      </c>
    </row>
  </sheetData>
  <sheetProtection sheet="1" objects="1" scenarios="1" selectLockedCells="1" selectUnlockedCells="1"/>
  <mergeCells count="3">
    <mergeCell ref="A2:G2"/>
    <mergeCell ref="A4:G4"/>
    <mergeCell ref="A6:G6"/>
  </mergeCells>
  <pageMargins left="0.7" right="0.7" top="0.75" bottom="0.75" header="0.3" footer="0.3"/>
  <pageSetup paperSize="9" scale="92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Rocca Giuseppe Francesco</dc:creator>
  <cp:lastModifiedBy>Rocca Giuseppe Francesco</cp:lastModifiedBy>
  <dcterms:created xsi:type="dcterms:W3CDTF">2025-01-16T12:36:29Z</dcterms:created>
  <dcterms:modified xsi:type="dcterms:W3CDTF">2025-01-16T12:36:55Z</dcterms:modified>
</cp:coreProperties>
</file>